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DieseArbeitsmappe"/>
  <mc:AlternateContent xmlns:mc="http://schemas.openxmlformats.org/markup-compatibility/2006">
    <mc:Choice Requires="x15">
      <x15ac:absPath xmlns:x15ac="http://schemas.microsoft.com/office/spreadsheetml/2010/11/ac" url="F:\Homepage\Joomla Excel-Inside 3.5\Daten\Beiträge\20190207 Bilanzanalyse mit Excel\"/>
    </mc:Choice>
  </mc:AlternateContent>
  <bookViews>
    <workbookView xWindow="7635" yWindow="-15" windowWidth="7680" windowHeight="8565" tabRatio="908"/>
  </bookViews>
  <sheets>
    <sheet name="Aktiva" sheetId="1" r:id="rId1"/>
    <sheet name="Passiva" sheetId="2" r:id="rId2"/>
    <sheet name="Guv" sheetId="3" r:id="rId3"/>
    <sheet name="Erläuterungen" sheetId="5" r:id="rId4"/>
    <sheet name="Strukturbilanz" sheetId="4" r:id="rId5"/>
    <sheet name="Struktur GUV" sheetId="6" r:id="rId6"/>
    <sheet name="KZ Vermögensaufbau" sheetId="7" r:id="rId7"/>
    <sheet name="KZ Wachstum" sheetId="11" r:id="rId8"/>
    <sheet name="KZ Kapitalstruktur" sheetId="8" r:id="rId9"/>
    <sheet name="KZ Finanzlage" sheetId="9" r:id="rId10"/>
    <sheet name="KZ Ertragskraft" sheetId="10" r:id="rId11"/>
    <sheet name="Grafiken" sheetId="12" r:id="rId12"/>
  </sheets>
  <calcPr calcId="162913"/>
</workbook>
</file>

<file path=xl/calcChain.xml><?xml version="1.0" encoding="utf-8"?>
<calcChain xmlns="http://schemas.openxmlformats.org/spreadsheetml/2006/main">
  <c r="G6" i="1" l="1"/>
  <c r="E6" i="1"/>
  <c r="H9" i="1"/>
  <c r="H15" i="1"/>
  <c r="H20" i="1"/>
  <c r="H27" i="1"/>
  <c r="G12" i="4" s="1"/>
  <c r="I12" i="4" s="1"/>
  <c r="H34" i="1"/>
  <c r="H39" i="1"/>
  <c r="H43" i="1"/>
  <c r="H45" i="1"/>
  <c r="G20" i="4" s="1"/>
  <c r="I20" i="4" s="1"/>
  <c r="H47" i="1"/>
  <c r="F9" i="1"/>
  <c r="F49" i="1" s="1"/>
  <c r="F15" i="1"/>
  <c r="F20" i="1"/>
  <c r="D11" i="4" s="1"/>
  <c r="F11" i="4" s="1"/>
  <c r="F27" i="1"/>
  <c r="F34" i="1"/>
  <c r="F39" i="1"/>
  <c r="F43" i="1"/>
  <c r="D20" i="4" s="1"/>
  <c r="F20" i="4" s="1"/>
  <c r="B28" i="9" s="1"/>
  <c r="F45" i="1"/>
  <c r="F47" i="1"/>
  <c r="A1" i="1"/>
  <c r="G42" i="5"/>
  <c r="G41" i="5"/>
  <c r="G40" i="5"/>
  <c r="G38" i="5"/>
  <c r="G44" i="5" s="1"/>
  <c r="G39" i="5"/>
  <c r="F44" i="5"/>
  <c r="E44" i="5"/>
  <c r="D44" i="5"/>
  <c r="C44" i="5"/>
  <c r="F29" i="5"/>
  <c r="E29" i="5"/>
  <c r="G51" i="4" s="1"/>
  <c r="D29" i="5"/>
  <c r="F28" i="5"/>
  <c r="E28" i="5"/>
  <c r="D28" i="5"/>
  <c r="D55" i="4" s="1"/>
  <c r="C29" i="5"/>
  <c r="C28" i="5"/>
  <c r="E4" i="3"/>
  <c r="C4" i="3"/>
  <c r="F33" i="3"/>
  <c r="D33" i="3"/>
  <c r="F27" i="3"/>
  <c r="F30" i="3"/>
  <c r="F31" i="3"/>
  <c r="F32" i="3"/>
  <c r="D27" i="3"/>
  <c r="D30" i="3"/>
  <c r="D31" i="3"/>
  <c r="D32" i="3"/>
  <c r="D34" i="3"/>
  <c r="A1" i="3"/>
  <c r="A1" i="10"/>
  <c r="D31" i="4"/>
  <c r="F31" i="4"/>
  <c r="D32" i="4"/>
  <c r="F32" i="4"/>
  <c r="D33" i="4"/>
  <c r="D35" i="4"/>
  <c r="F35" i="4"/>
  <c r="D36" i="4"/>
  <c r="F36" i="4" s="1"/>
  <c r="D7" i="4"/>
  <c r="E7" i="4"/>
  <c r="E37" i="4"/>
  <c r="F38" i="4"/>
  <c r="F39" i="4"/>
  <c r="F40" i="4"/>
  <c r="F41" i="4"/>
  <c r="F42" i="4"/>
  <c r="D43" i="4"/>
  <c r="E43" i="4"/>
  <c r="G31" i="4"/>
  <c r="I31" i="4"/>
  <c r="G32" i="4"/>
  <c r="G33" i="4"/>
  <c r="I33" i="4"/>
  <c r="B31" i="8" s="1"/>
  <c r="G35" i="4"/>
  <c r="I35" i="4"/>
  <c r="G36" i="4"/>
  <c r="I36" i="4"/>
  <c r="I38" i="4"/>
  <c r="I39" i="4"/>
  <c r="I40" i="4"/>
  <c r="I41" i="4"/>
  <c r="I42" i="4"/>
  <c r="G43" i="4"/>
  <c r="C6" i="6"/>
  <c r="D8" i="6"/>
  <c r="C7" i="6"/>
  <c r="C11" i="6"/>
  <c r="B58" i="10" s="1"/>
  <c r="E6" i="6"/>
  <c r="E7" i="6"/>
  <c r="E11" i="6"/>
  <c r="B61" i="10"/>
  <c r="C13" i="6"/>
  <c r="B68" i="10"/>
  <c r="E13" i="6"/>
  <c r="B71" i="10"/>
  <c r="C14" i="6"/>
  <c r="B78" i="10"/>
  <c r="E14" i="6"/>
  <c r="B81" i="10"/>
  <c r="C15" i="6"/>
  <c r="B88" i="10"/>
  <c r="E15" i="6"/>
  <c r="B91" i="10"/>
  <c r="C9" i="6"/>
  <c r="C10" i="6"/>
  <c r="E9" i="6"/>
  <c r="E10" i="6"/>
  <c r="C25" i="6"/>
  <c r="C26" i="6"/>
  <c r="C37" i="6" s="1"/>
  <c r="C17" i="6"/>
  <c r="C18" i="6"/>
  <c r="C19" i="6"/>
  <c r="C20" i="6"/>
  <c r="C21" i="6"/>
  <c r="D22" i="6"/>
  <c r="B38" i="10" s="1"/>
  <c r="E25" i="6"/>
  <c r="E26" i="6"/>
  <c r="F27" i="6"/>
  <c r="B51" i="10" s="1"/>
  <c r="E17" i="6"/>
  <c r="E18" i="6"/>
  <c r="E19" i="6"/>
  <c r="E20" i="6"/>
  <c r="E21" i="6"/>
  <c r="C23" i="6"/>
  <c r="D23" i="6"/>
  <c r="C28" i="6"/>
  <c r="C29" i="6"/>
  <c r="D30" i="6" s="1"/>
  <c r="E23" i="6"/>
  <c r="F23" i="6" s="1"/>
  <c r="E28" i="6"/>
  <c r="F30" i="6" s="1"/>
  <c r="E29" i="6"/>
  <c r="D47" i="4"/>
  <c r="F47" i="4"/>
  <c r="F49" i="4" s="1"/>
  <c r="D48" i="4"/>
  <c r="E48" i="4"/>
  <c r="F48" i="4"/>
  <c r="B48" i="8" s="1"/>
  <c r="D51" i="4"/>
  <c r="F51" i="4"/>
  <c r="F52" i="4"/>
  <c r="E16" i="4"/>
  <c r="E56" i="4"/>
  <c r="F56" i="4" s="1"/>
  <c r="B88" i="8" s="1"/>
  <c r="E57" i="4"/>
  <c r="F57" i="4" s="1"/>
  <c r="D58" i="4"/>
  <c r="F58" i="4" s="1"/>
  <c r="D59" i="4"/>
  <c r="F59" i="4" s="1"/>
  <c r="F40" i="2"/>
  <c r="D60" i="4" s="1"/>
  <c r="F60" i="4" s="1"/>
  <c r="G47" i="4"/>
  <c r="I47" i="4"/>
  <c r="I49" i="4" s="1"/>
  <c r="G48" i="4"/>
  <c r="I48" i="4"/>
  <c r="H48" i="4"/>
  <c r="I52" i="4"/>
  <c r="G55" i="4"/>
  <c r="H16" i="4"/>
  <c r="H56" i="4"/>
  <c r="I56" i="4" s="1"/>
  <c r="H57" i="4"/>
  <c r="I57" i="4" s="1"/>
  <c r="G58" i="4"/>
  <c r="I58" i="4" s="1"/>
  <c r="B51" i="8" s="1"/>
  <c r="G59" i="4"/>
  <c r="I59" i="4" s="1"/>
  <c r="H40" i="2"/>
  <c r="G60" i="4" s="1"/>
  <c r="I60" i="4" s="1"/>
  <c r="B71" i="9"/>
  <c r="B68" i="9"/>
  <c r="G18" i="4"/>
  <c r="I18" i="4"/>
  <c r="G19" i="4"/>
  <c r="I19" i="4"/>
  <c r="B31" i="9"/>
  <c r="G10" i="4"/>
  <c r="I10" i="4" s="1"/>
  <c r="G11" i="4"/>
  <c r="I11" i="4" s="1"/>
  <c r="I13" i="4"/>
  <c r="D10" i="4"/>
  <c r="D12" i="4"/>
  <c r="F12" i="4"/>
  <c r="A1" i="9"/>
  <c r="G16" i="4"/>
  <c r="D16" i="4"/>
  <c r="F16" i="4" s="1"/>
  <c r="D18" i="4"/>
  <c r="F18" i="4" s="1"/>
  <c r="B38" i="9" s="1"/>
  <c r="D19" i="4"/>
  <c r="F19" i="4" s="1"/>
  <c r="B132" i="8"/>
  <c r="B129" i="8"/>
  <c r="A1" i="8"/>
  <c r="B42" i="8"/>
  <c r="B91" i="8"/>
  <c r="B118" i="8"/>
  <c r="B128" i="8"/>
  <c r="E128" i="8" s="1"/>
  <c r="B139" i="8" s="1"/>
  <c r="E138" i="8" s="1"/>
  <c r="B131" i="8"/>
  <c r="E131" i="8" s="1"/>
  <c r="B142" i="8" s="1"/>
  <c r="E141" i="8" s="1"/>
  <c r="B108" i="8"/>
  <c r="F7" i="4"/>
  <c r="B72" i="7"/>
  <c r="A1" i="7"/>
  <c r="B48" i="7"/>
  <c r="B68" i="7"/>
  <c r="A1" i="11"/>
  <c r="H20" i="2"/>
  <c r="H22" i="2"/>
  <c r="H27" i="2"/>
  <c r="H36" i="2"/>
  <c r="F20" i="2"/>
  <c r="F42" i="2" s="1"/>
  <c r="F45" i="2" s="1"/>
  <c r="F22" i="2"/>
  <c r="F27" i="2"/>
  <c r="F36" i="2"/>
  <c r="G4" i="2"/>
  <c r="E4" i="2"/>
  <c r="A1" i="2"/>
  <c r="E3" i="6"/>
  <c r="C3" i="6"/>
  <c r="A1" i="6"/>
  <c r="E32" i="6"/>
  <c r="F32" i="6" s="1"/>
  <c r="C32" i="6"/>
  <c r="D32" i="6"/>
  <c r="D12" i="6"/>
  <c r="C71" i="4"/>
  <c r="C70" i="4"/>
  <c r="C69" i="4"/>
  <c r="C68" i="4"/>
  <c r="C67" i="4"/>
  <c r="G26" i="4"/>
  <c r="D26" i="4"/>
  <c r="G3" i="4"/>
  <c r="D3" i="4"/>
  <c r="A1" i="4"/>
  <c r="G49" i="4"/>
  <c r="D49" i="4"/>
  <c r="D53" i="4"/>
  <c r="E23" i="4"/>
  <c r="B89" i="10"/>
  <c r="E88" i="10" s="1"/>
  <c r="D16" i="6"/>
  <c r="B119" i="10"/>
  <c r="B69" i="7" l="1"/>
  <c r="E68" i="7" s="1"/>
  <c r="B79" i="7" s="1"/>
  <c r="E78" i="7" s="1"/>
  <c r="F21" i="4"/>
  <c r="B39" i="7" s="1"/>
  <c r="I51" i="4"/>
  <c r="I53" i="4" s="1"/>
  <c r="G53" i="4"/>
  <c r="B29" i="7"/>
  <c r="B18" i="7"/>
  <c r="B48" i="9"/>
  <c r="B11" i="7"/>
  <c r="B59" i="11"/>
  <c r="B12" i="9"/>
  <c r="G61" i="4"/>
  <c r="I55" i="4"/>
  <c r="I61" i="4" s="1"/>
  <c r="B79" i="10"/>
  <c r="E78" i="10" s="1"/>
  <c r="B69" i="10"/>
  <c r="E68" i="10" s="1"/>
  <c r="B59" i="10"/>
  <c r="E58" i="10" s="1"/>
  <c r="F37" i="4"/>
  <c r="E64" i="4"/>
  <c r="B41" i="7"/>
  <c r="F34" i="3"/>
  <c r="I16" i="4"/>
  <c r="B49" i="7" s="1"/>
  <c r="E48" i="7" s="1"/>
  <c r="B59" i="7" s="1"/>
  <c r="E58" i="7" s="1"/>
  <c r="G21" i="4"/>
  <c r="B41" i="9"/>
  <c r="F22" i="6"/>
  <c r="B41" i="10" s="1"/>
  <c r="C36" i="6"/>
  <c r="H43" i="4"/>
  <c r="I43" i="4" s="1"/>
  <c r="I32" i="4"/>
  <c r="F43" i="4"/>
  <c r="D44" i="4"/>
  <c r="F33" i="4"/>
  <c r="F44" i="4" s="1"/>
  <c r="F55" i="4"/>
  <c r="F61" i="4" s="1"/>
  <c r="D61" i="4"/>
  <c r="B118" i="10"/>
  <c r="E118" i="10" s="1"/>
  <c r="B28" i="10"/>
  <c r="D24" i="6"/>
  <c r="B22" i="9"/>
  <c r="B28" i="7"/>
  <c r="D27" i="6"/>
  <c r="B48" i="10" s="1"/>
  <c r="F16" i="6"/>
  <c r="B121" i="8"/>
  <c r="B71" i="7"/>
  <c r="E71" i="7" s="1"/>
  <c r="B82" i="7" s="1"/>
  <c r="E81" i="7" s="1"/>
  <c r="E37" i="6"/>
  <c r="B122" i="10"/>
  <c r="B8" i="11"/>
  <c r="E36" i="6"/>
  <c r="F8" i="6"/>
  <c r="B111" i="8"/>
  <c r="B51" i="7"/>
  <c r="B39" i="8"/>
  <c r="H49" i="1"/>
  <c r="G7" i="4"/>
  <c r="D21" i="4"/>
  <c r="B9" i="11"/>
  <c r="B71" i="8"/>
  <c r="B61" i="8"/>
  <c r="G13" i="4"/>
  <c r="F12" i="6"/>
  <c r="H42" i="2"/>
  <c r="H45" i="2" s="1"/>
  <c r="D13" i="4"/>
  <c r="F10" i="4"/>
  <c r="F13" i="4" s="1"/>
  <c r="F53" i="4"/>
  <c r="B48" i="11" s="1"/>
  <c r="E28" i="7" l="1"/>
  <c r="B58" i="9"/>
  <c r="B8" i="8"/>
  <c r="B38" i="8"/>
  <c r="E38" i="8" s="1"/>
  <c r="B18" i="9"/>
  <c r="B99" i="8"/>
  <c r="B78" i="11"/>
  <c r="B8" i="9"/>
  <c r="E8" i="9" s="1"/>
  <c r="B19" i="8"/>
  <c r="F64" i="4"/>
  <c r="B58" i="8"/>
  <c r="B42" i="9"/>
  <c r="B32" i="9"/>
  <c r="E31" i="9" s="1"/>
  <c r="B72" i="9"/>
  <c r="E71" i="9" s="1"/>
  <c r="B81" i="8"/>
  <c r="B52" i="9"/>
  <c r="B62" i="9"/>
  <c r="B101" i="8"/>
  <c r="D31" i="6"/>
  <c r="D64" i="4"/>
  <c r="B68" i="8"/>
  <c r="E8" i="11"/>
  <c r="E41" i="9"/>
  <c r="B89" i="8"/>
  <c r="E88" i="8" s="1"/>
  <c r="B72" i="10"/>
  <c r="E71" i="10" s="1"/>
  <c r="B92" i="10"/>
  <c r="E91" i="10" s="1"/>
  <c r="B62" i="10"/>
  <c r="E61" i="10" s="1"/>
  <c r="B82" i="10"/>
  <c r="E81" i="10" s="1"/>
  <c r="B98" i="8"/>
  <c r="E98" i="8" s="1"/>
  <c r="B28" i="8"/>
  <c r="B18" i="8"/>
  <c r="I21" i="4"/>
  <c r="B52" i="7"/>
  <c r="E51" i="7" s="1"/>
  <c r="B62" i="7" s="1"/>
  <c r="E61" i="7" s="1"/>
  <c r="B31" i="7"/>
  <c r="B59" i="9"/>
  <c r="E58" i="9" s="1"/>
  <c r="B49" i="9"/>
  <c r="E48" i="9" s="1"/>
  <c r="B29" i="9"/>
  <c r="E28" i="9" s="1"/>
  <c r="B69" i="9"/>
  <c r="E68" i="9" s="1"/>
  <c r="B39" i="9"/>
  <c r="E38" i="9" s="1"/>
  <c r="B78" i="8"/>
  <c r="B8" i="7"/>
  <c r="B58" i="11"/>
  <c r="E58" i="11" s="1"/>
  <c r="B19" i="9"/>
  <c r="B38" i="7"/>
  <c r="E38" i="7" s="1"/>
  <c r="B9" i="9"/>
  <c r="F23" i="4"/>
  <c r="H7" i="4"/>
  <c r="G23" i="4"/>
  <c r="D23" i="4"/>
  <c r="B49" i="11"/>
  <c r="E48" i="11" s="1"/>
  <c r="B92" i="8"/>
  <c r="E91" i="8" s="1"/>
  <c r="B19" i="11"/>
  <c r="F24" i="6"/>
  <c r="F31" i="6" s="1"/>
  <c r="B31" i="10"/>
  <c r="B121" i="10"/>
  <c r="E121" i="10" s="1"/>
  <c r="B18" i="11"/>
  <c r="E18" i="11" s="1"/>
  <c r="B21" i="8"/>
  <c r="E18" i="9" l="1"/>
  <c r="B98" i="10"/>
  <c r="B29" i="10"/>
  <c r="E28" i="10" s="1"/>
  <c r="D33" i="6"/>
  <c r="B8" i="10"/>
  <c r="B108" i="10"/>
  <c r="B18" i="10"/>
  <c r="E18" i="10" s="1"/>
  <c r="B49" i="10"/>
  <c r="E48" i="10" s="1"/>
  <c r="B39" i="10"/>
  <c r="E38" i="10" s="1"/>
  <c r="E8" i="7"/>
  <c r="E18" i="8"/>
  <c r="B59" i="8"/>
  <c r="E58" i="8" s="1"/>
  <c r="B49" i="8"/>
  <c r="E48" i="8" s="1"/>
  <c r="B79" i="11"/>
  <c r="E78" i="11" s="1"/>
  <c r="B69" i="8"/>
  <c r="E68" i="8" s="1"/>
  <c r="B79" i="8"/>
  <c r="E78" i="8" s="1"/>
  <c r="B29" i="8"/>
  <c r="B9" i="10"/>
  <c r="B111" i="10"/>
  <c r="B52" i="10"/>
  <c r="E51" i="10" s="1"/>
  <c r="B101" i="10"/>
  <c r="B19" i="10"/>
  <c r="B42" i="10"/>
  <c r="E41" i="10" s="1"/>
  <c r="F33" i="6"/>
  <c r="B32" i="10"/>
  <c r="H23" i="4"/>
  <c r="H37" i="4"/>
  <c r="H64" i="4" s="1"/>
  <c r="G37" i="4"/>
  <c r="B9" i="7"/>
  <c r="B9" i="8"/>
  <c r="E8" i="8" s="1"/>
  <c r="B19" i="7"/>
  <c r="E18" i="7" s="1"/>
  <c r="B21" i="7"/>
  <c r="B51" i="9"/>
  <c r="E51" i="9" s="1"/>
  <c r="B69" i="11"/>
  <c r="B42" i="7"/>
  <c r="E41" i="7" s="1"/>
  <c r="B61" i="9"/>
  <c r="E61" i="9" s="1"/>
  <c r="B32" i="7"/>
  <c r="B68" i="11"/>
  <c r="E68" i="11" s="1"/>
  <c r="I7" i="4"/>
  <c r="I23" i="4" s="1"/>
  <c r="E31" i="10"/>
  <c r="E31" i="7"/>
  <c r="E28" i="8"/>
  <c r="E8" i="10" l="1"/>
  <c r="B12" i="7"/>
  <c r="E11" i="7" s="1"/>
  <c r="B22" i="7"/>
  <c r="E21" i="7" s="1"/>
  <c r="B12" i="8"/>
  <c r="I37" i="4"/>
  <c r="I44" i="4" s="1"/>
  <c r="G44" i="4"/>
  <c r="G64" i="4" s="1"/>
  <c r="I64" i="4" l="1"/>
  <c r="B81" i="11"/>
  <c r="B11" i="8"/>
  <c r="E11" i="8" s="1"/>
  <c r="B22" i="8"/>
  <c r="E21" i="8" s="1"/>
  <c r="B102" i="8"/>
  <c r="E101" i="8" s="1"/>
  <c r="B11" i="9"/>
  <c r="E11" i="9" s="1"/>
  <c r="B102" i="10"/>
  <c r="E101" i="10" s="1"/>
  <c r="B39" i="11"/>
  <c r="B41" i="8"/>
  <c r="E41" i="8" s="1"/>
  <c r="B21" i="9"/>
  <c r="E21" i="9" s="1"/>
  <c r="B122" i="8"/>
  <c r="E121" i="8" s="1"/>
  <c r="B99" i="10"/>
  <c r="E98" i="10" s="1"/>
  <c r="B38" i="11"/>
  <c r="B119" i="8"/>
  <c r="E118" i="8" s="1"/>
  <c r="E38" i="11" l="1"/>
  <c r="B112" i="10"/>
  <c r="E111" i="10" s="1"/>
  <c r="B72" i="8"/>
  <c r="E71" i="8" s="1"/>
  <c r="B52" i="8"/>
  <c r="E51" i="8" s="1"/>
  <c r="B112" i="8"/>
  <c r="E111" i="8" s="1"/>
  <c r="B32" i="8"/>
  <c r="E31" i="8" s="1"/>
  <c r="B29" i="11"/>
  <c r="B62" i="8"/>
  <c r="E61" i="8" s="1"/>
  <c r="B82" i="8"/>
  <c r="E81" i="8" s="1"/>
  <c r="B82" i="11"/>
  <c r="E81" i="11" s="1"/>
  <c r="B109" i="10"/>
  <c r="E108" i="10" s="1"/>
  <c r="B109" i="8"/>
  <c r="E108" i="8" s="1"/>
  <c r="B28" i="11"/>
  <c r="E28" i="11" l="1"/>
</calcChain>
</file>

<file path=xl/sharedStrings.xml><?xml version="1.0" encoding="utf-8"?>
<sst xmlns="http://schemas.openxmlformats.org/spreadsheetml/2006/main" count="851" uniqueCount="311">
  <si>
    <t>A.</t>
  </si>
  <si>
    <t>Aufwendungen für Erweiterung des Geschäftsbetriebs</t>
  </si>
  <si>
    <t>B.</t>
  </si>
  <si>
    <t>Anlagevermögen</t>
  </si>
  <si>
    <t>I.</t>
  </si>
  <si>
    <t>Immaterielle Vermögensgegenstände</t>
  </si>
  <si>
    <t>1.</t>
  </si>
  <si>
    <t>Lizenzen</t>
  </si>
  <si>
    <t>2.</t>
  </si>
  <si>
    <t>Geschäfts- oder Firmenwert</t>
  </si>
  <si>
    <t>II.</t>
  </si>
  <si>
    <t>Sachanlagen</t>
  </si>
  <si>
    <t>3.</t>
  </si>
  <si>
    <t>Grundstücke und Bauten einschließlich der Bauten auf fremden Grundstücken</t>
  </si>
  <si>
    <t>Technische Anlagen und Maschinen</t>
  </si>
  <si>
    <t>Andere Anlagen, Betriebs- und Geschäftsausstattung</t>
  </si>
  <si>
    <t>III.</t>
  </si>
  <si>
    <t>Finanzanlagen</t>
  </si>
  <si>
    <t>Anteile an verbundenen Unternehmen</t>
  </si>
  <si>
    <t>Beteiligungen</t>
  </si>
  <si>
    <t>C.</t>
  </si>
  <si>
    <t>Umlaufvermögen</t>
  </si>
  <si>
    <t>Vorräte</t>
  </si>
  <si>
    <t>4.</t>
  </si>
  <si>
    <t>Roh-, Hilfs- und Betriebsstoffe</t>
  </si>
  <si>
    <t>Unfertige Erzeugnisse</t>
  </si>
  <si>
    <t>Fertige Erzeugnisse und Waren</t>
  </si>
  <si>
    <t>Geleistete Anzahlungen</t>
  </si>
  <si>
    <t>Forderungen und sonstige Vermögensgegenstände</t>
  </si>
  <si>
    <t>Forderungen aus Lieferungen und Leistungen</t>
  </si>
  <si>
    <t>Forderungen gegen verbundene Unternehmen</t>
  </si>
  <si>
    <t>Sonstige Vermögensgegenstände</t>
  </si>
  <si>
    <t>Wertpapiere</t>
  </si>
  <si>
    <t>Sonstige Wertpapiere</t>
  </si>
  <si>
    <t>IV.</t>
  </si>
  <si>
    <t>Schecks, Kassenbestand, Postgiroguthaben, Guthaben bei Kreditinstituten</t>
  </si>
  <si>
    <t>D.</t>
  </si>
  <si>
    <t>Rechnungsabgrenzungsposten</t>
  </si>
  <si>
    <t>Geleistete Anzahlungen und Anlagen im Bau</t>
  </si>
  <si>
    <t>Ausleihungen an verbundene Unternehmen</t>
  </si>
  <si>
    <t>Ausleihungen an Unternehmen, mit denen ein Beteiligungsverhältnis besteht</t>
  </si>
  <si>
    <t>5.</t>
  </si>
  <si>
    <t>Wertpapiere des Anlagevermögens</t>
  </si>
  <si>
    <t>6.</t>
  </si>
  <si>
    <t>Sonstige Ausleihungen</t>
  </si>
  <si>
    <t>Forderungen an Unternehmen, mit denen ein Beteiligungsverhältnis besteht</t>
  </si>
  <si>
    <t>eigene Anteile</t>
  </si>
  <si>
    <t>Eigenkapital</t>
  </si>
  <si>
    <t>Gezeichnetes Kapital</t>
  </si>
  <si>
    <t>Kapitalrücklage</t>
  </si>
  <si>
    <t>Gewinnrücklagen</t>
  </si>
  <si>
    <t>gesetzliche Rücklage</t>
  </si>
  <si>
    <t>Rücklage für eigene Anteile</t>
  </si>
  <si>
    <t>satzungsmäßige Rücklagen</t>
  </si>
  <si>
    <t>andere Gewinnrücklagen</t>
  </si>
  <si>
    <t>Gewinnvortrag / Verlustvortrag</t>
  </si>
  <si>
    <t>V.</t>
  </si>
  <si>
    <t>Jahresüberschuss / Jahresfehlbetrag</t>
  </si>
  <si>
    <t>Rückstellungen</t>
  </si>
  <si>
    <t>Rückstellungen für Pensionen und ähnliche Verpflichtungen</t>
  </si>
  <si>
    <t>Steuerrückstellungen</t>
  </si>
  <si>
    <t>sonstige Rückstellungen</t>
  </si>
  <si>
    <t>Verbindlichkeiten</t>
  </si>
  <si>
    <t>Anleihen</t>
  </si>
  <si>
    <t>Verbindlichkeiten gegenüber Kreditinsituten</t>
  </si>
  <si>
    <t>erhaltene Anzahlungen auf Bestellungen</t>
  </si>
  <si>
    <t>Verbindlichkeiten aus Lieferungen und Leistungen</t>
  </si>
  <si>
    <t>Verbindlichkeiten aus der Annahme gezogener Wechsel und der Ausstellung eigener Wechsel</t>
  </si>
  <si>
    <t>Verbindlichkeiten gegenüber verbundenen Unternehmen</t>
  </si>
  <si>
    <t>7.</t>
  </si>
  <si>
    <t>Verbindlichkeiten gegenüber Unternehmen, mit denen ein Beteiligungsverhältnis besteht</t>
  </si>
  <si>
    <t>8.</t>
  </si>
  <si>
    <t>sonstige Verbindlichkeiten</t>
  </si>
  <si>
    <t>davon aus Steuern</t>
  </si>
  <si>
    <t>davon im Rahmen der sozialen Sicherheit</t>
  </si>
  <si>
    <t>Gewinn- und Verlustrechnung</t>
  </si>
  <si>
    <t>Bilanz - AKTIVA</t>
  </si>
  <si>
    <t>Bilanz - PASSIVA</t>
  </si>
  <si>
    <t>Umsatzerlöse</t>
  </si>
  <si>
    <t>andere aktivierte Eigenleistungen</t>
  </si>
  <si>
    <t>sonstige betriebliche Erträge</t>
  </si>
  <si>
    <t>Materialaufwand</t>
  </si>
  <si>
    <t>a)  Aufwendungen für Roh-, Hilfs- und Betriebsstoffe und für bezogene Waren</t>
  </si>
  <si>
    <t>b)  Aufwendungen für bezogene Leistungen</t>
  </si>
  <si>
    <t>Personalaufwand</t>
  </si>
  <si>
    <t>a)  Löhne und Gehälter</t>
  </si>
  <si>
    <t>b)  soziale Abgaben und Aufwendungen für Altersversorgung und für Unterstützung</t>
  </si>
  <si>
    <t>Abschreibungen</t>
  </si>
  <si>
    <t>sonstige betriebliche Aufwendungen</t>
  </si>
  <si>
    <t>9.</t>
  </si>
  <si>
    <t>Erträge aus Beteiligungen</t>
  </si>
  <si>
    <t>10.</t>
  </si>
  <si>
    <t>Erträge aus anderen Wertpapieren und Ausleihungen des Finanzanlagevermögens</t>
  </si>
  <si>
    <t>11.</t>
  </si>
  <si>
    <t>sonstige Zinsen und ähnliche Erträge</t>
  </si>
  <si>
    <t>12.</t>
  </si>
  <si>
    <t>13.</t>
  </si>
  <si>
    <t>Zinsen und ähnliche Aufwendungen</t>
  </si>
  <si>
    <t>14.</t>
  </si>
  <si>
    <t>Ergebnis der gewöhnlichen Geschäftstätigkeit</t>
  </si>
  <si>
    <t>15.</t>
  </si>
  <si>
    <t>ausserordentliche Aufwendungen</t>
  </si>
  <si>
    <t>ausserordentliche Erträge</t>
  </si>
  <si>
    <t>16.</t>
  </si>
  <si>
    <t>ausserordentliches Ergebnis</t>
  </si>
  <si>
    <t>18.</t>
  </si>
  <si>
    <t>Steuern vom Einkommen und vom Ertrag</t>
  </si>
  <si>
    <t>19.</t>
  </si>
  <si>
    <t>sonstige Steuern</t>
  </si>
  <si>
    <t>17.</t>
  </si>
  <si>
    <t>T€</t>
  </si>
  <si>
    <t>Summe AKTIVA</t>
  </si>
  <si>
    <t>Berichtsjahr</t>
  </si>
  <si>
    <t>Vorjahr</t>
  </si>
  <si>
    <t>Sonderposten mit Rücklageanteil</t>
  </si>
  <si>
    <t>E.</t>
  </si>
  <si>
    <t xml:space="preserve"> + Erhöhung oder ./. Verminderung des Bestands an fertigen und unfertigen Erzeugnissen</t>
  </si>
  <si>
    <t>Abschreibungen auf Finanzanlagen und auf Wertpapiere des Umlaufvermögens</t>
  </si>
  <si>
    <t>Verbindlichkeitenspiegel</t>
  </si>
  <si>
    <t>Art der Verbindlichkeit</t>
  </si>
  <si>
    <t>Gesamtbetrag</t>
  </si>
  <si>
    <t>davon mit Restlaufzeit von</t>
  </si>
  <si>
    <t>bis zu 1 Jahr</t>
  </si>
  <si>
    <t>1 bis 5 Jahren</t>
  </si>
  <si>
    <t>über 5 Jahren</t>
  </si>
  <si>
    <t>1. Anleihen</t>
  </si>
  <si>
    <t>3. erhaltene Anzahlungen auf Bestellungen</t>
  </si>
  <si>
    <t>2. Verbindlichkeiten gegenüber Kreditinsituten</t>
  </si>
  <si>
    <t>4. Verbindlichkeiten aus Lieferungen und Leistungen</t>
  </si>
  <si>
    <t>5. Verbindlichkeiten aus der Annahme gezogener Wechsel und der Ausstellung eigener Wechsel</t>
  </si>
  <si>
    <t>6. Verbindlichkeiten gegenüber verbundenen Unternehmen</t>
  </si>
  <si>
    <t>7. Verbindlichkeiten gegenüber Unternehmen, mit denen ein Beteiligungsverhältnis besteht</t>
  </si>
  <si>
    <t>8. sonstige Verbindlichkeiten</t>
  </si>
  <si>
    <t>Summe</t>
  </si>
  <si>
    <t>Gj</t>
  </si>
  <si>
    <t>Vj</t>
  </si>
  <si>
    <t>AKTIVA</t>
  </si>
  <si>
    <t>Finanzumlaufvermögen</t>
  </si>
  <si>
    <t>1. Forderungen</t>
  </si>
  <si>
    <t>3. Geldwerte</t>
  </si>
  <si>
    <t>Aufwendungen für Erweiterung des Geschäftsbetriebes</t>
  </si>
  <si>
    <t>vor An-</t>
  </si>
  <si>
    <t>passungen</t>
  </si>
  <si>
    <t>nach An-</t>
  </si>
  <si>
    <t>An-</t>
  </si>
  <si>
    <t>2. sonstige Vermögensgegenstände, Rechnungsabgrenzungs-posten, Disagio</t>
  </si>
  <si>
    <t>PASSIVA</t>
  </si>
  <si>
    <t>Sonstiges Eigenkapital</t>
  </si>
  <si>
    <t>Gewinnvortrag</t>
  </si>
  <si>
    <t>Jahresüberschuss</t>
  </si>
  <si>
    <t>Aufwend. für Erweiterung</t>
  </si>
  <si>
    <t>Nicht passivierte Pensions-rückstellungen</t>
  </si>
  <si>
    <t>Ausschüttungen</t>
  </si>
  <si>
    <t>Sonderposten mit Rücklageanteil (50 %)</t>
  </si>
  <si>
    <t>B</t>
  </si>
  <si>
    <t>Fremdkapital</t>
  </si>
  <si>
    <t>Kurzfristiges Fremdkapital</t>
  </si>
  <si>
    <t>Erhaltene Anzahlungen auf Bestellungen</t>
  </si>
  <si>
    <t>Passive Rechnungsabgrenzung</t>
  </si>
  <si>
    <t>weitere Anpassungen</t>
  </si>
  <si>
    <t>Pensionsrückstellungen einschließlich der nicht passivierten)</t>
  </si>
  <si>
    <t xml:space="preserve">Mittelfristiges Fremdkapital, </t>
  </si>
  <si>
    <t>Sopo mit Rücklageanteil 50 %</t>
  </si>
  <si>
    <t>Gesamtleistung (Summe 1 - 2)</t>
  </si>
  <si>
    <t>Betriebsergebnis (Summe 1 - 8)</t>
  </si>
  <si>
    <t>20.</t>
  </si>
  <si>
    <t>Summe Steuern</t>
  </si>
  <si>
    <t>Summe der Gesamtaufwendungen</t>
  </si>
  <si>
    <t>Rohergebnis (Summe 1 bis 5)</t>
  </si>
  <si>
    <t>Gesamtvermögen</t>
  </si>
  <si>
    <t>=</t>
  </si>
  <si>
    <t>Firma:</t>
  </si>
  <si>
    <t>Berichts-jahr:</t>
  </si>
  <si>
    <t>Anlagevermögen * 100</t>
  </si>
  <si>
    <t>*100</t>
  </si>
  <si>
    <t>Umlaufvermögen * 100</t>
  </si>
  <si>
    <t>Vorräte * 100</t>
  </si>
  <si>
    <t>Umschlagshäufigkeit der Vorräte</t>
  </si>
  <si>
    <t>durchschn. Vorratsbestand</t>
  </si>
  <si>
    <t>Umschlagshäufigkeit der Forderungen aus Lieferungen und Leistungen</t>
  </si>
  <si>
    <t>Umsatz</t>
  </si>
  <si>
    <t>durschnittl. Ford.Bestand</t>
  </si>
  <si>
    <t>Tage</t>
  </si>
  <si>
    <t>mal</t>
  </si>
  <si>
    <t>Gesamtkapital</t>
  </si>
  <si>
    <t>Rücklagen</t>
  </si>
  <si>
    <t>Gewinnrücklage</t>
  </si>
  <si>
    <t>lang- und mittel-fristiges FK</t>
  </si>
  <si>
    <t>kurzfristiges FK</t>
  </si>
  <si>
    <t>erhaltene Kundenanz.</t>
  </si>
  <si>
    <t>durchschnittliches investiertes Kapital</t>
  </si>
  <si>
    <t>durchschnittliches investiertes Eigenkapital</t>
  </si>
  <si>
    <t>durchschnittl. Verbindl. Bestand L+L</t>
  </si>
  <si>
    <t>Umschlagshäufigkeit der Verbindlichkeiten aus Lieferungen und Leistungen</t>
  </si>
  <si>
    <t>Eigenkapital + langfristiges FK</t>
  </si>
  <si>
    <t>Geldwerte</t>
  </si>
  <si>
    <t>kurzfristiges Fremdkapital</t>
  </si>
  <si>
    <t>Finanzumlauf-vermögen</t>
  </si>
  <si>
    <t>-</t>
  </si>
  <si>
    <t>Umlaufvermögen - kurzfristiges</t>
  </si>
  <si>
    <t>Jahresergebnis Berichtsjahr</t>
  </si>
  <si>
    <t>Jahresergebnis Vorjahr</t>
  </si>
  <si>
    <t>keine Berechnung</t>
  </si>
  <si>
    <t>Jahresergebnis vor Steuern BJ</t>
  </si>
  <si>
    <t>Jahresergebnis v. Steuern VJ</t>
  </si>
  <si>
    <t>Betriebsergebnis</t>
  </si>
  <si>
    <t>Gesamtergebnis</t>
  </si>
  <si>
    <t>Finanzergebnis</t>
  </si>
  <si>
    <t>Gesamtleistung</t>
  </si>
  <si>
    <t>Abschreibung</t>
  </si>
  <si>
    <t>sonstige betriebl. Aufwendungen</t>
  </si>
  <si>
    <t>Jahresergebnis vor Steuern</t>
  </si>
  <si>
    <t>durchschnittl. investiertes EK</t>
  </si>
  <si>
    <t>Jahreserg. v. Steuern+Zinsaufw.</t>
  </si>
  <si>
    <t>durchschnittl. investiertes Gesamtkapital</t>
  </si>
  <si>
    <t>Anmerkungen:</t>
  </si>
  <si>
    <t>Umsatzänderung</t>
  </si>
  <si>
    <t>Betriebsergebnis-änderung</t>
  </si>
  <si>
    <t>Betriebsergebnis Vorjahr</t>
  </si>
  <si>
    <t>Umsatz Vorjahr</t>
  </si>
  <si>
    <t>Änderung Gesamtkapital</t>
  </si>
  <si>
    <t>Gesamtkapital Vorjahr</t>
  </si>
  <si>
    <t>Änderung des EK</t>
  </si>
  <si>
    <t>Eigenkapital Vorjahr</t>
  </si>
  <si>
    <t>Änderung des FK</t>
  </si>
  <si>
    <t>Fremdkapital Vorjahr</t>
  </si>
  <si>
    <t>Änderung des AV</t>
  </si>
  <si>
    <t>Anlagevermögen Vorjahr</t>
  </si>
  <si>
    <t>Änderung des UV</t>
  </si>
  <si>
    <t>Umlaufvermögen Vorjahr</t>
  </si>
  <si>
    <t>Buchhaus GmbH</t>
  </si>
  <si>
    <t>1. Anlagevermögenintensität</t>
  </si>
  <si>
    <t>2. Umlaufvermögensintensität</t>
  </si>
  <si>
    <t>3. Vorratsintensität</t>
  </si>
  <si>
    <t>4. Anlagenkoeffizient</t>
  </si>
  <si>
    <t>5. Umschlagshäufigkeit der Vorräte</t>
  </si>
  <si>
    <t>6. Umschlagsdauer der Vorräte</t>
  </si>
  <si>
    <t>7. Umschlagshäufigkeit der Forderungen aus Lieferungen und Leistungen</t>
  </si>
  <si>
    <t>8. Kundenziel</t>
  </si>
  <si>
    <t>1. Eigenkapitalquote</t>
  </si>
  <si>
    <t>2. Rücklagenquote</t>
  </si>
  <si>
    <t>3. Selbstfinanzierungsgrad</t>
  </si>
  <si>
    <t>4. Bilanzkurs</t>
  </si>
  <si>
    <t>5. Rückstellungsquote</t>
  </si>
  <si>
    <t>6. Fremdkapitalquote</t>
  </si>
  <si>
    <t>7. Lang- und mittelfristige Finanzierungsquote</t>
  </si>
  <si>
    <t>8. kurzfristige Finanzierungsquote</t>
  </si>
  <si>
    <t>9. Vorfinanzierungsquote</t>
  </si>
  <si>
    <t>10. Verschuldungsgrad</t>
  </si>
  <si>
    <t>11. Kapitalumschlag</t>
  </si>
  <si>
    <t>12. Eigenkapitalumschlag</t>
  </si>
  <si>
    <t>13. Umschlagshäufigkeit Verb. aus Lieferungen und Leistungen</t>
  </si>
  <si>
    <t>14. Lieferantenziel</t>
  </si>
  <si>
    <t>1. Anlagendeckung I</t>
  </si>
  <si>
    <t>2. Anlagendeckung II</t>
  </si>
  <si>
    <t>3. Liquidität 1. Grades</t>
  </si>
  <si>
    <t>4. Liquidität 2. Grades</t>
  </si>
  <si>
    <t>5. Liquidität 3. Grades</t>
  </si>
  <si>
    <t>6. Working capital</t>
  </si>
  <si>
    <t>7. Cash-flow</t>
  </si>
  <si>
    <t>1. Prozentuale Änderung des Jahresergebnisses</t>
  </si>
  <si>
    <t>2. Prozentuale Änderung des Jahresergebnisses vor Steuern</t>
  </si>
  <si>
    <t>3. Anteil des Betriebsergebnisses</t>
  </si>
  <si>
    <t>4. Anteil des Finanzergebnisses</t>
  </si>
  <si>
    <t>5. Anteil des ausserordentlichen Ergebnisses</t>
  </si>
  <si>
    <t>7. Personalintensität</t>
  </si>
  <si>
    <t>8. Abschreibungsintensität</t>
  </si>
  <si>
    <t>9. Intensität der sonstigen betrieblichen Aufwendungen</t>
  </si>
  <si>
    <t>10. Eigenkapitalrentabilität</t>
  </si>
  <si>
    <t>11. Gesamtkapitalrentabilität</t>
  </si>
  <si>
    <t>12. Umsatzrentabillität (Gewinnspanne)</t>
  </si>
  <si>
    <t>1. Umsatzwachstum</t>
  </si>
  <si>
    <t>2. Betriebsergebnis Wachstum</t>
  </si>
  <si>
    <t>5. Fremdkapitalwachstum</t>
  </si>
  <si>
    <t>6. Anlagevermögenswachstum</t>
  </si>
  <si>
    <t>7. Umlaufvermögenswachstum</t>
  </si>
  <si>
    <t>8. Eigenkapitalquote</t>
  </si>
  <si>
    <t>Sonderpostenspiegel</t>
  </si>
  <si>
    <t>Art des Sonderpostens</t>
  </si>
  <si>
    <t>Stand 31.12.</t>
  </si>
  <si>
    <t>Zuführung</t>
  </si>
  <si>
    <t>Umbuchung</t>
  </si>
  <si>
    <t>Auflösung</t>
  </si>
  <si>
    <t>Rücklagen gem. § 6 b EStG</t>
  </si>
  <si>
    <t>steuerliche Wertberichtigung gem. § 14 BerlinFG</t>
  </si>
  <si>
    <t>weiterer SoPo</t>
  </si>
  <si>
    <t>Abstimmung Aktiva mit Passiva</t>
  </si>
  <si>
    <t>Summe PASSIVA</t>
  </si>
  <si>
    <t>Aufwand aus Gewinnabführung aufgrund eines Ergebnisabführungsvertrages</t>
  </si>
  <si>
    <t>21.</t>
  </si>
  <si>
    <t>22.</t>
  </si>
  <si>
    <t>23.</t>
  </si>
  <si>
    <t>6. Materialintensität</t>
  </si>
  <si>
    <t>a) auf immaterielle Vermögensgegenstände des Anlagevermögens und Sachanlagen sowie auf aktivierte Aufwendungen für die Ingansetzung und Erweiterung des Geschäftsbetriebs</t>
  </si>
  <si>
    <t>b) auf Vermögensgegenstände des Umlaufvermögens, soweit diese die in der Kapitalgesellschaft üblichen Abschreibungen überschreitet</t>
  </si>
  <si>
    <t>Aufwendungen aus Verlustübernahme / Erträge aus Gewinnübernahme</t>
  </si>
  <si>
    <t>Erläuterungen</t>
  </si>
  <si>
    <t>Langfristiges Fremdkapital,</t>
  </si>
  <si>
    <t>Sonstige betriebliche Erträge</t>
  </si>
  <si>
    <t>Sonstige betriebliche Aufwendungen</t>
  </si>
  <si>
    <t>Sonstige Zinsen und ähnliche Erträge</t>
  </si>
  <si>
    <t>Ausserordentliche Erträge</t>
  </si>
  <si>
    <t>Ausserordentliche Aufwendungen</t>
  </si>
  <si>
    <t>Finanzergebnis (Summe 9 - 13)</t>
  </si>
  <si>
    <t>Ergebnis der gewöhnlichen Geschäftstätigkeit (Summe 1 - 14)</t>
  </si>
  <si>
    <t>Ausserordentliches Ergebnis (Summe 16 - 17)</t>
  </si>
  <si>
    <t>24.</t>
  </si>
  <si>
    <t>Jahresüberschuss (+) / Jahresfehlbetrag (-) (Summe 1 - 21)</t>
  </si>
  <si>
    <t>Jahresüberschuss (+) / Jahresfehlbetrag (-) nach Ergebnisabführung (Summe 1 - 23)</t>
  </si>
  <si>
    <t>3. Gesamtkapitalwachstum</t>
  </si>
  <si>
    <t>4. Eigenkapitalwachstum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</si>
</sst>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4" formatCode="_-* #,##0.00\ &quot;€&quot;_-;\-* #,##0.00\ &quot;€&quot;_-;_-* &quot;-&quot;??\ &quot;€&quot;_-;_-@_-"/>
    <numFmt numFmtId="164" formatCode="#,##0.0"/>
    <numFmt numFmtId="165" formatCode="\+#,##0.0;\-#,##0.0"/>
    <numFmt numFmtId="166" formatCode="\(#,##0.0\);\(\-#,##0.0\)"/>
    <numFmt numFmtId="167" formatCode="0.0"/>
    <numFmt numFmtId="168" formatCode="0.0%"/>
    <numFmt numFmtId="169" formatCode="#,##0.00000000000"/>
  </numFmts>
  <fonts count="13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0"/>
      <color indexed="10"/>
      <name val="Arial"/>
      <family val="2"/>
    </font>
    <font>
      <b/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07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vertical="top"/>
    </xf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4" fillId="0" borderId="0" xfId="0" applyFont="1" applyAlignment="1">
      <alignment wrapText="1"/>
    </xf>
    <xf numFmtId="0" fontId="0" fillId="0" borderId="0" xfId="0" applyAlignment="1">
      <alignment vertical="top" wrapText="1"/>
    </xf>
    <xf numFmtId="0" fontId="4" fillId="0" borderId="0" xfId="0" applyFont="1" applyAlignment="1">
      <alignment vertical="top" wrapText="1"/>
    </xf>
    <xf numFmtId="0" fontId="2" fillId="0" borderId="0" xfId="0" applyFont="1" applyAlignment="1">
      <alignment horizontal="right" vertical="top"/>
    </xf>
    <xf numFmtId="0" fontId="2" fillId="0" borderId="0" xfId="0" applyFont="1" applyAlignment="1">
      <alignment horizontal="right"/>
    </xf>
    <xf numFmtId="0" fontId="0" fillId="0" borderId="1" xfId="0" applyBorder="1"/>
    <xf numFmtId="0" fontId="0" fillId="0" borderId="0" xfId="0" applyBorder="1"/>
    <xf numFmtId="164" fontId="0" fillId="0" borderId="0" xfId="0" applyNumberFormat="1"/>
    <xf numFmtId="164" fontId="0" fillId="0" borderId="0" xfId="0" applyNumberFormat="1" applyBorder="1"/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0" borderId="0" xfId="0" applyFont="1" applyAlignment="1">
      <alignment horizontal="right" wrapText="1"/>
    </xf>
    <xf numFmtId="164" fontId="0" fillId="0" borderId="0" xfId="0" applyNumberFormat="1" applyFill="1" applyBorder="1"/>
    <xf numFmtId="0" fontId="0" fillId="0" borderId="4" xfId="0" applyBorder="1"/>
    <xf numFmtId="0" fontId="0" fillId="0" borderId="1" xfId="0" applyBorder="1" applyAlignment="1">
      <alignment wrapText="1"/>
    </xf>
    <xf numFmtId="0" fontId="4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0" fillId="2" borderId="0" xfId="0" applyFill="1"/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0" fontId="0" fillId="0" borderId="2" xfId="0" applyBorder="1"/>
    <xf numFmtId="0" fontId="0" fillId="2" borderId="2" xfId="0" applyFill="1" applyBorder="1"/>
    <xf numFmtId="0" fontId="0" fillId="0" borderId="2" xfId="0" applyBorder="1" applyAlignment="1">
      <alignment horizontal="right" wrapText="1"/>
    </xf>
    <xf numFmtId="0" fontId="0" fillId="0" borderId="0" xfId="0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8" xfId="0" applyBorder="1"/>
    <xf numFmtId="0" fontId="0" fillId="0" borderId="2" xfId="0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5" fillId="0" borderId="0" xfId="0" applyFont="1"/>
    <xf numFmtId="0" fontId="0" fillId="0" borderId="10" xfId="0" applyBorder="1"/>
    <xf numFmtId="164" fontId="0" fillId="0" borderId="10" xfId="0" applyNumberFormat="1" applyBorder="1"/>
    <xf numFmtId="0" fontId="6" fillId="0" borderId="0" xfId="0" applyFont="1" applyAlignment="1">
      <alignment vertical="top"/>
    </xf>
    <xf numFmtId="0" fontId="6" fillId="0" borderId="0" xfId="0" applyFont="1"/>
    <xf numFmtId="0" fontId="5" fillId="0" borderId="0" xfId="0" applyFont="1" applyAlignment="1">
      <alignment vertical="top"/>
    </xf>
    <xf numFmtId="0" fontId="5" fillId="0" borderId="0" xfId="0" applyFont="1" applyAlignment="1">
      <alignment wrapText="1"/>
    </xf>
    <xf numFmtId="0" fontId="7" fillId="0" borderId="0" xfId="0" applyFont="1" applyAlignment="1">
      <alignment horizontal="left" wrapText="1"/>
    </xf>
    <xf numFmtId="0" fontId="7" fillId="0" borderId="0" xfId="0" applyFont="1"/>
    <xf numFmtId="0" fontId="5" fillId="0" borderId="2" xfId="0" applyFont="1" applyBorder="1"/>
    <xf numFmtId="164" fontId="0" fillId="0" borderId="2" xfId="0" applyNumberFormat="1" applyBorder="1"/>
    <xf numFmtId="164" fontId="0" fillId="0" borderId="11" xfId="0" applyNumberFormat="1" applyBorder="1"/>
    <xf numFmtId="164" fontId="0" fillId="0" borderId="1" xfId="0" applyNumberFormat="1" applyBorder="1"/>
    <xf numFmtId="0" fontId="5" fillId="0" borderId="12" xfId="0" applyFont="1" applyBorder="1"/>
    <xf numFmtId="164" fontId="0" fillId="0" borderId="12" xfId="0" applyNumberFormat="1" applyBorder="1"/>
    <xf numFmtId="164" fontId="0" fillId="0" borderId="4" xfId="0" applyNumberFormat="1" applyBorder="1"/>
    <xf numFmtId="0" fontId="5" fillId="2" borderId="0" xfId="0" applyFont="1" applyFill="1"/>
    <xf numFmtId="0" fontId="5" fillId="2" borderId="0" xfId="0" applyFont="1" applyFill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5" fillId="2" borderId="2" xfId="0" applyFont="1" applyFill="1" applyBorder="1"/>
    <xf numFmtId="0" fontId="5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5" fillId="2" borderId="11" xfId="0" applyFont="1" applyFill="1" applyBorder="1" applyAlignment="1">
      <alignment horizontal="center"/>
    </xf>
    <xf numFmtId="0" fontId="2" fillId="0" borderId="0" xfId="0" applyFont="1" applyBorder="1" applyAlignment="1">
      <alignment horizontal="center" wrapText="1"/>
    </xf>
    <xf numFmtId="165" fontId="0" fillId="0" borderId="0" xfId="0" applyNumberFormat="1"/>
    <xf numFmtId="0" fontId="2" fillId="0" borderId="0" xfId="0" applyFont="1" applyBorder="1" applyAlignment="1">
      <alignment horizontal="center" vertical="top" wrapText="1"/>
    </xf>
    <xf numFmtId="165" fontId="0" fillId="0" borderId="1" xfId="0" applyNumberFormat="1" applyBorder="1"/>
    <xf numFmtId="165" fontId="0" fillId="0" borderId="13" xfId="0" applyNumberFormat="1" applyBorder="1"/>
    <xf numFmtId="165" fontId="0" fillId="0" borderId="14" xfId="0" applyNumberFormat="1" applyBorder="1"/>
    <xf numFmtId="0" fontId="0" fillId="2" borderId="0" xfId="0" applyFill="1" applyAlignment="1">
      <alignment vertical="top"/>
    </xf>
    <xf numFmtId="0" fontId="0" fillId="2" borderId="2" xfId="0" applyFill="1" applyBorder="1" applyAlignment="1">
      <alignment vertical="top"/>
    </xf>
    <xf numFmtId="164" fontId="0" fillId="0" borderId="13" xfId="0" applyNumberFormat="1" applyBorder="1"/>
    <xf numFmtId="164" fontId="0" fillId="0" borderId="15" xfId="0" applyNumberFormat="1" applyBorder="1"/>
    <xf numFmtId="164" fontId="0" fillId="0" borderId="16" xfId="0" applyNumberFormat="1" applyBorder="1"/>
    <xf numFmtId="164" fontId="0" fillId="0" borderId="14" xfId="0" applyNumberFormat="1" applyBorder="1"/>
    <xf numFmtId="0" fontId="2" fillId="2" borderId="0" xfId="0" applyFont="1" applyFill="1" applyAlignment="1"/>
    <xf numFmtId="0" fontId="0" fillId="0" borderId="0" xfId="0" applyAlignment="1">
      <alignment vertical="center"/>
    </xf>
    <xf numFmtId="164" fontId="0" fillId="3" borderId="17" xfId="0" applyNumberFormat="1" applyFill="1" applyBorder="1"/>
    <xf numFmtId="0" fontId="8" fillId="0" borderId="0" xfId="0" applyFont="1"/>
    <xf numFmtId="0" fontId="0" fillId="0" borderId="0" xfId="0" applyAlignment="1">
      <alignment horizontal="center"/>
    </xf>
    <xf numFmtId="168" fontId="2" fillId="0" borderId="0" xfId="0" applyNumberFormat="1" applyFont="1" applyBorder="1" applyAlignment="1">
      <alignment vertical="center"/>
    </xf>
    <xf numFmtId="0" fontId="2" fillId="2" borderId="0" xfId="0" applyFont="1" applyFill="1" applyAlignment="1">
      <alignment wrapText="1"/>
    </xf>
    <xf numFmtId="164" fontId="0" fillId="0" borderId="0" xfId="0" applyNumberFormat="1" applyBorder="1" applyAlignment="1">
      <alignment horizontal="center"/>
    </xf>
    <xf numFmtId="4" fontId="0" fillId="0" borderId="0" xfId="0" applyNumberFormat="1"/>
    <xf numFmtId="0" fontId="2" fillId="2" borderId="0" xfId="0" applyFont="1" applyFill="1" applyAlignment="1">
      <alignment vertical="top"/>
    </xf>
    <xf numFmtId="0" fontId="0" fillId="0" borderId="0" xfId="0" applyFill="1" applyBorder="1"/>
    <xf numFmtId="164" fontId="0" fillId="0" borderId="0" xfId="0" applyNumberFormat="1" applyBorder="1" applyAlignment="1"/>
    <xf numFmtId="168" fontId="2" fillId="0" borderId="0" xfId="0" applyNumberFormat="1" applyFont="1" applyFill="1" applyBorder="1" applyAlignment="1">
      <alignment vertical="center"/>
    </xf>
    <xf numFmtId="164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vertical="center"/>
    </xf>
    <xf numFmtId="0" fontId="9" fillId="0" borderId="0" xfId="0" applyFont="1" applyBorder="1" applyAlignment="1">
      <alignment wrapText="1"/>
    </xf>
    <xf numFmtId="0" fontId="10" fillId="0" borderId="0" xfId="0" applyFont="1"/>
    <xf numFmtId="0" fontId="11" fillId="0" borderId="0" xfId="0" applyFont="1"/>
    <xf numFmtId="0" fontId="9" fillId="0" borderId="13" xfId="0" applyFont="1" applyBorder="1" applyAlignment="1">
      <alignment wrapText="1"/>
    </xf>
    <xf numFmtId="0" fontId="9" fillId="0" borderId="13" xfId="0" applyFont="1" applyBorder="1" applyAlignment="1"/>
    <xf numFmtId="0" fontId="10" fillId="0" borderId="13" xfId="0" applyFont="1" applyBorder="1"/>
    <xf numFmtId="0" fontId="0" fillId="4" borderId="0" xfId="0" applyFill="1"/>
    <xf numFmtId="0" fontId="0" fillId="4" borderId="0" xfId="0" applyFill="1" applyAlignment="1">
      <alignment horizontal="center"/>
    </xf>
    <xf numFmtId="164" fontId="0" fillId="4" borderId="2" xfId="0" applyNumberFormat="1" applyFill="1" applyBorder="1"/>
    <xf numFmtId="0" fontId="0" fillId="4" borderId="2" xfId="0" applyFill="1" applyBorder="1"/>
    <xf numFmtId="164" fontId="0" fillId="0" borderId="18" xfId="0" applyNumberFormat="1" applyFill="1" applyBorder="1"/>
    <xf numFmtId="164" fontId="0" fillId="0" borderId="0" xfId="0" applyNumberFormat="1" applyFill="1"/>
    <xf numFmtId="164" fontId="0" fillId="0" borderId="19" xfId="0" applyNumberFormat="1" applyFill="1" applyBorder="1"/>
    <xf numFmtId="0" fontId="0" fillId="0" borderId="0" xfId="0" applyFill="1"/>
    <xf numFmtId="164" fontId="0" fillId="0" borderId="20" xfId="0" applyNumberFormat="1" applyFill="1" applyBorder="1"/>
    <xf numFmtId="164" fontId="0" fillId="0" borderId="17" xfId="0" applyNumberFormat="1" applyFill="1" applyBorder="1"/>
    <xf numFmtId="0" fontId="4" fillId="0" borderId="0" xfId="0" applyFont="1" applyFill="1" applyAlignment="1">
      <alignment wrapText="1"/>
    </xf>
    <xf numFmtId="165" fontId="0" fillId="0" borderId="18" xfId="0" applyNumberFormat="1" applyFill="1" applyBorder="1"/>
    <xf numFmtId="165" fontId="0" fillId="0" borderId="21" xfId="0" applyNumberFormat="1" applyFill="1" applyBorder="1"/>
    <xf numFmtId="165" fontId="0" fillId="0" borderId="22" xfId="0" applyNumberFormat="1" applyFill="1" applyBorder="1"/>
    <xf numFmtId="0" fontId="0" fillId="2" borderId="23" xfId="0" applyFill="1" applyBorder="1"/>
    <xf numFmtId="0" fontId="0" fillId="0" borderId="23" xfId="0" applyBorder="1"/>
    <xf numFmtId="164" fontId="0" fillId="0" borderId="6" xfId="0" applyNumberFormat="1" applyBorder="1"/>
    <xf numFmtId="164" fontId="0" fillId="0" borderId="23" xfId="0" applyNumberFormat="1" applyFill="1" applyBorder="1"/>
    <xf numFmtId="0" fontId="2" fillId="0" borderId="2" xfId="0" applyFont="1" applyFill="1" applyBorder="1"/>
    <xf numFmtId="164" fontId="2" fillId="0" borderId="6" xfId="0" applyNumberFormat="1" applyFont="1" applyFill="1" applyBorder="1"/>
    <xf numFmtId="44" fontId="2" fillId="0" borderId="4" xfId="2" applyFont="1" applyFill="1" applyBorder="1"/>
    <xf numFmtId="44" fontId="2" fillId="0" borderId="12" xfId="2" applyFont="1" applyFill="1" applyBorder="1" applyAlignment="1">
      <alignment horizontal="center"/>
    </xf>
    <xf numFmtId="44" fontId="2" fillId="0" borderId="24" xfId="2" applyFont="1" applyFill="1" applyBorder="1"/>
    <xf numFmtId="44" fontId="2" fillId="0" borderId="25" xfId="2" applyFont="1" applyFill="1" applyBorder="1"/>
    <xf numFmtId="44" fontId="2" fillId="0" borderId="3" xfId="2" applyFont="1" applyFill="1" applyBorder="1" applyAlignment="1">
      <alignment wrapText="1"/>
    </xf>
    <xf numFmtId="44" fontId="2" fillId="0" borderId="2" xfId="2" applyFont="1" applyFill="1" applyBorder="1" applyAlignment="1">
      <alignment horizontal="center" wrapText="1"/>
    </xf>
    <xf numFmtId="44" fontId="2" fillId="0" borderId="3" xfId="2" applyFont="1" applyFill="1" applyBorder="1"/>
    <xf numFmtId="44" fontId="2" fillId="0" borderId="5" xfId="2" applyFont="1" applyFill="1" applyBorder="1"/>
    <xf numFmtId="44" fontId="2" fillId="0" borderId="6" xfId="2" applyFont="1" applyFill="1" applyBorder="1"/>
    <xf numFmtId="44" fontId="2" fillId="0" borderId="7" xfId="2" applyFont="1" applyFill="1" applyBorder="1"/>
    <xf numFmtId="0" fontId="4" fillId="0" borderId="0" xfId="0" applyFont="1" applyFill="1" applyAlignment="1">
      <alignment vertical="top" wrapText="1"/>
    </xf>
    <xf numFmtId="165" fontId="0" fillId="0" borderId="0" xfId="0" applyNumberFormat="1" applyFill="1"/>
    <xf numFmtId="0" fontId="0" fillId="0" borderId="1" xfId="0" applyFill="1" applyBorder="1"/>
    <xf numFmtId="165" fontId="0" fillId="0" borderId="0" xfId="0" applyNumberFormat="1" applyFill="1" applyBorder="1"/>
    <xf numFmtId="165" fontId="0" fillId="0" borderId="1" xfId="0" applyNumberFormat="1" applyFill="1" applyBorder="1"/>
    <xf numFmtId="165" fontId="0" fillId="0" borderId="13" xfId="0" applyNumberFormat="1" applyFill="1" applyBorder="1"/>
    <xf numFmtId="165" fontId="0" fillId="0" borderId="14" xfId="0" applyNumberFormat="1" applyFill="1" applyBorder="1"/>
    <xf numFmtId="164" fontId="5" fillId="0" borderId="18" xfId="0" applyNumberFormat="1" applyFont="1" applyFill="1" applyBorder="1"/>
    <xf numFmtId="169" fontId="0" fillId="0" borderId="0" xfId="0" applyNumberFormat="1" applyAlignment="1">
      <alignment wrapText="1"/>
    </xf>
    <xf numFmtId="164" fontId="0" fillId="0" borderId="26" xfId="0" applyNumberFormat="1" applyFill="1" applyBorder="1"/>
    <xf numFmtId="164" fontId="0" fillId="0" borderId="22" xfId="0" applyNumberFormat="1" applyFill="1" applyBorder="1" applyAlignment="1">
      <alignment horizontal="center"/>
    </xf>
    <xf numFmtId="0" fontId="0" fillId="0" borderId="22" xfId="0" applyBorder="1" applyAlignment="1">
      <alignment wrapText="1"/>
    </xf>
    <xf numFmtId="165" fontId="0" fillId="0" borderId="19" xfId="0" applyNumberFormat="1" applyFill="1" applyBorder="1"/>
    <xf numFmtId="165" fontId="0" fillId="0" borderId="17" xfId="0" applyNumberFormat="1" applyFill="1" applyBorder="1"/>
    <xf numFmtId="165" fontId="0" fillId="0" borderId="27" xfId="0" applyNumberFormat="1" applyFill="1" applyBorder="1"/>
    <xf numFmtId="164" fontId="0" fillId="2" borderId="17" xfId="0" applyNumberFormat="1" applyFill="1" applyBorder="1" applyProtection="1">
      <protection locked="0"/>
    </xf>
    <xf numFmtId="1" fontId="0" fillId="2" borderId="17" xfId="0" applyNumberFormat="1" applyFill="1" applyBorder="1" applyAlignment="1" applyProtection="1">
      <alignment horizontal="left"/>
      <protection locked="0"/>
    </xf>
    <xf numFmtId="164" fontId="0" fillId="2" borderId="28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0" xfId="0" applyNumberFormat="1" applyFill="1" applyBorder="1" applyProtection="1">
      <protection locked="0"/>
    </xf>
    <xf numFmtId="165" fontId="0" fillId="2" borderId="17" xfId="0" applyNumberFormat="1" applyFill="1" applyBorder="1" applyProtection="1">
      <protection locked="0"/>
    </xf>
    <xf numFmtId="165" fontId="0" fillId="2" borderId="28" xfId="0" applyNumberFormat="1" applyFill="1" applyBorder="1" applyProtection="1">
      <protection locked="0"/>
    </xf>
    <xf numFmtId="165" fontId="0" fillId="2" borderId="18" xfId="0" applyNumberFormat="1" applyFill="1" applyBorder="1" applyProtection="1">
      <protection locked="0"/>
    </xf>
    <xf numFmtId="165" fontId="0" fillId="2" borderId="19" xfId="0" applyNumberFormat="1" applyFill="1" applyBorder="1" applyProtection="1">
      <protection locked="0"/>
    </xf>
    <xf numFmtId="165" fontId="0" fillId="2" borderId="16" xfId="0" applyNumberFormat="1" applyFill="1" applyBorder="1" applyProtection="1">
      <protection locked="0"/>
    </xf>
    <xf numFmtId="165" fontId="0" fillId="2" borderId="29" xfId="0" applyNumberFormat="1" applyFill="1" applyBorder="1" applyProtection="1">
      <protection locked="0"/>
    </xf>
    <xf numFmtId="165" fontId="0" fillId="2" borderId="30" xfId="0" applyNumberFormat="1" applyFill="1" applyBorder="1" applyProtection="1">
      <protection locked="0"/>
    </xf>
    <xf numFmtId="165" fontId="0" fillId="2" borderId="31" xfId="0" applyNumberFormat="1" applyFill="1" applyBorder="1" applyProtection="1">
      <protection locked="0"/>
    </xf>
    <xf numFmtId="166" fontId="0" fillId="2" borderId="11" xfId="0" applyNumberFormat="1" applyFill="1" applyBorder="1" applyProtection="1">
      <protection locked="0"/>
    </xf>
    <xf numFmtId="166" fontId="0" fillId="2" borderId="5" xfId="0" applyNumberFormat="1" applyFill="1" applyBorder="1" applyProtection="1">
      <protection locked="0"/>
    </xf>
    <xf numFmtId="166" fontId="0" fillId="2" borderId="6" xfId="0" applyNumberFormat="1" applyFill="1" applyBorder="1" applyProtection="1">
      <protection locked="0"/>
    </xf>
    <xf numFmtId="166" fontId="0" fillId="2" borderId="7" xfId="0" applyNumberFormat="1" applyFill="1" applyBorder="1" applyProtection="1">
      <protection locked="0"/>
    </xf>
    <xf numFmtId="165" fontId="0" fillId="2" borderId="32" xfId="0" applyNumberFormat="1" applyFill="1" applyBorder="1" applyProtection="1">
      <protection locked="0"/>
    </xf>
    <xf numFmtId="165" fontId="0" fillId="2" borderId="33" xfId="0" applyNumberFormat="1" applyFill="1" applyBorder="1" applyProtection="1">
      <protection locked="0"/>
    </xf>
    <xf numFmtId="165" fontId="0" fillId="2" borderId="34" xfId="0" applyNumberFormat="1" applyFill="1" applyBorder="1" applyProtection="1">
      <protection locked="0"/>
    </xf>
    <xf numFmtId="165" fontId="0" fillId="2" borderId="35" xfId="0" applyNumberFormat="1" applyFill="1" applyBorder="1" applyProtection="1">
      <protection locked="0"/>
    </xf>
    <xf numFmtId="166" fontId="0" fillId="2" borderId="16" xfId="0" applyNumberFormat="1" applyFill="1" applyBorder="1" applyProtection="1">
      <protection locked="0"/>
    </xf>
    <xf numFmtId="166" fontId="0" fillId="2" borderId="29" xfId="0" applyNumberFormat="1" applyFill="1" applyBorder="1" applyProtection="1">
      <protection locked="0"/>
    </xf>
    <xf numFmtId="166" fontId="0" fillId="2" borderId="30" xfId="0" applyNumberFormat="1" applyFill="1" applyBorder="1" applyProtection="1">
      <protection locked="0"/>
    </xf>
    <xf numFmtId="166" fontId="0" fillId="2" borderId="31" xfId="0" applyNumberFormat="1" applyFill="1" applyBorder="1" applyProtection="1">
      <protection locked="0"/>
    </xf>
    <xf numFmtId="166" fontId="0" fillId="2" borderId="10" xfId="0" applyNumberFormat="1" applyFill="1" applyBorder="1" applyProtection="1">
      <protection locked="0"/>
    </xf>
    <xf numFmtId="166" fontId="0" fillId="2" borderId="36" xfId="0" applyNumberFormat="1" applyFill="1" applyBorder="1" applyProtection="1">
      <protection locked="0"/>
    </xf>
    <xf numFmtId="166" fontId="0" fillId="2" borderId="23" xfId="0" applyNumberFormat="1" applyFill="1" applyBorder="1" applyProtection="1">
      <protection locked="0"/>
    </xf>
    <xf numFmtId="166" fontId="0" fillId="2" borderId="37" xfId="0" applyNumberFormat="1" applyFill="1" applyBorder="1" applyProtection="1">
      <protection locked="0"/>
    </xf>
    <xf numFmtId="164" fontId="0" fillId="2" borderId="23" xfId="0" applyNumberFormat="1" applyFill="1" applyBorder="1" applyProtection="1">
      <protection locked="0"/>
    </xf>
    <xf numFmtId="165" fontId="0" fillId="0" borderId="8" xfId="0" applyNumberFormat="1" applyFill="1" applyBorder="1"/>
    <xf numFmtId="0" fontId="0" fillId="0" borderId="0" xfId="0" applyProtection="1"/>
    <xf numFmtId="0" fontId="12" fillId="2" borderId="2" xfId="0" applyFont="1" applyFill="1" applyBorder="1" applyAlignment="1">
      <alignment horizontal="center"/>
    </xf>
    <xf numFmtId="0" fontId="12" fillId="2" borderId="3" xfId="0" applyFont="1" applyFill="1" applyBorder="1" applyAlignment="1">
      <alignment horizontal="center"/>
    </xf>
    <xf numFmtId="0" fontId="6" fillId="0" borderId="0" xfId="0" applyFont="1" applyAlignment="1">
      <alignment horizontal="left" wrapText="1"/>
    </xf>
    <xf numFmtId="0" fontId="9" fillId="0" borderId="13" xfId="0" applyFont="1" applyBorder="1" applyAlignment="1">
      <alignment horizontal="center"/>
    </xf>
    <xf numFmtId="0" fontId="0" fillId="0" borderId="0" xfId="0" applyAlignment="1">
      <alignment wrapText="1"/>
    </xf>
    <xf numFmtId="0" fontId="2" fillId="2" borderId="0" xfId="0" applyFont="1" applyFill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8" fillId="3" borderId="17" xfId="0" applyFont="1" applyFill="1" applyBorder="1" applyAlignment="1">
      <alignment horizontal="left"/>
    </xf>
    <xf numFmtId="0" fontId="8" fillId="3" borderId="17" xfId="0" applyFont="1" applyFill="1" applyBorder="1" applyAlignment="1">
      <alignment horizontal="left" wrapText="1"/>
    </xf>
    <xf numFmtId="0" fontId="9" fillId="0" borderId="13" xfId="0" applyFont="1" applyBorder="1" applyAlignment="1">
      <alignment horizontal="center" wrapText="1"/>
    </xf>
    <xf numFmtId="0" fontId="0" fillId="2" borderId="1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2" fillId="0" borderId="13" xfId="0" applyFont="1" applyBorder="1" applyAlignment="1">
      <alignment horizontal="center" wrapText="1"/>
    </xf>
    <xf numFmtId="0" fontId="0" fillId="2" borderId="0" xfId="0" applyFill="1" applyAlignment="1">
      <alignment horizontal="center"/>
    </xf>
    <xf numFmtId="0" fontId="0" fillId="2" borderId="10" xfId="0" applyFill="1" applyBorder="1" applyAlignment="1">
      <alignment horizontal="center"/>
    </xf>
    <xf numFmtId="0" fontId="0" fillId="0" borderId="0" xfId="0" applyAlignment="1">
      <alignment vertical="center"/>
    </xf>
    <xf numFmtId="168" fontId="2" fillId="0" borderId="0" xfId="0" applyNumberFormat="1" applyFont="1" applyBorder="1" applyAlignment="1">
      <alignment vertical="center"/>
    </xf>
    <xf numFmtId="164" fontId="0" fillId="0" borderId="1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164" fontId="0" fillId="0" borderId="2" xfId="0" applyNumberFormat="1" applyBorder="1" applyAlignment="1">
      <alignment horizontal="center"/>
    </xf>
    <xf numFmtId="167" fontId="2" fillId="0" borderId="0" xfId="0" applyNumberFormat="1" applyFont="1" applyBorder="1" applyAlignment="1">
      <alignment vertical="center"/>
    </xf>
    <xf numFmtId="0" fontId="0" fillId="0" borderId="12" xfId="0" applyBorder="1" applyAlignment="1">
      <alignment horizontal="center" wrapText="1"/>
    </xf>
    <xf numFmtId="0" fontId="0" fillId="0" borderId="0" xfId="0" applyFill="1" applyBorder="1" applyAlignment="1">
      <alignment vertical="center"/>
    </xf>
    <xf numFmtId="168" fontId="2" fillId="0" borderId="0" xfId="0" applyNumberFormat="1" applyFont="1" applyFill="1" applyBorder="1" applyAlignment="1">
      <alignment vertical="center"/>
    </xf>
    <xf numFmtId="164" fontId="0" fillId="0" borderId="0" xfId="0" applyNumberFormat="1" applyFill="1" applyBorder="1" applyAlignment="1">
      <alignment horizontal="center"/>
    </xf>
    <xf numFmtId="0" fontId="0" fillId="0" borderId="2" xfId="0" applyBorder="1" applyAlignment="1">
      <alignment horizontal="center" wrapText="1"/>
    </xf>
    <xf numFmtId="164" fontId="2" fillId="0" borderId="0" xfId="0" applyNumberFormat="1" applyFont="1" applyBorder="1" applyAlignment="1">
      <alignment vertical="center"/>
    </xf>
    <xf numFmtId="4" fontId="2" fillId="0" borderId="0" xfId="0" applyNumberFormat="1" applyFont="1" applyBorder="1" applyAlignment="1">
      <alignment vertical="center"/>
    </xf>
    <xf numFmtId="4" fontId="0" fillId="0" borderId="12" xfId="0" applyNumberFormat="1" applyBorder="1" applyAlignment="1">
      <alignment horizontal="center"/>
    </xf>
    <xf numFmtId="0" fontId="0" fillId="4" borderId="0" xfId="0" applyFill="1" applyAlignment="1">
      <alignment vertical="center"/>
    </xf>
    <xf numFmtId="168" fontId="2" fillId="4" borderId="0" xfId="0" applyNumberFormat="1" applyFont="1" applyFill="1" applyBorder="1" applyAlignment="1">
      <alignment vertical="center"/>
    </xf>
    <xf numFmtId="164" fontId="0" fillId="4" borderId="12" xfId="0" applyNumberFormat="1" applyFill="1" applyBorder="1" applyAlignment="1">
      <alignment horizontal="center"/>
    </xf>
  </cellXfs>
  <cellStyles count="3">
    <cellStyle name="Euro" xfId="1"/>
    <cellStyle name="Standard" xfId="0" builtinId="0"/>
    <cellStyle name="Währung" xfId="2" builtinId="4"/>
  </cellStyles>
  <dxfs count="1">
    <dxf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DE"/>
              <a:t>Strukturbilanz-Passiva
Geschäftsjahr</a:t>
            </a:r>
          </a:p>
        </c:rich>
      </c:tx>
      <c:layout>
        <c:manualLayout>
          <c:xMode val="edge"/>
          <c:yMode val="edge"/>
          <c:x val="0.21829855537720708"/>
          <c:y val="2.604920405209840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4205457463884424E-2"/>
          <c:y val="0.29667170023043216"/>
          <c:w val="0.5425361155698234"/>
          <c:h val="0.48914651062383452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F89-49C6-9F67-F86DE40D1D9F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9F89-49C6-9F67-F86DE40D1D9F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9F89-49C6-9F67-F86DE40D1D9F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9F89-49C6-9F67-F86DE40D1D9F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9F89-49C6-9F67-F86DE40D1D9F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9F89-49C6-9F67-F86DE40D1D9F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9F89-49C6-9F67-F86DE40D1D9F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9F89-49C6-9F67-F86DE40D1D9F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9F89-49C6-9F67-F86DE40D1D9F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9F89-49C6-9F67-F86DE40D1D9F}"/>
              </c:ext>
            </c:extLst>
          </c:dPt>
          <c:dPt>
            <c:idx val="1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9F89-49C6-9F67-F86DE40D1D9F}"/>
              </c:ext>
            </c:extLst>
          </c:dPt>
          <c:dPt>
            <c:idx val="11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9F89-49C6-9F67-F86DE40D1D9F}"/>
              </c:ext>
            </c:extLst>
          </c:dPt>
          <c:dPt>
            <c:idx val="12"/>
            <c:bubble3D val="0"/>
            <c:spPr>
              <a:solidFill>
                <a:srgbClr val="8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9F89-49C6-9F67-F86DE40D1D9F}"/>
              </c:ext>
            </c:extLst>
          </c:dPt>
          <c:dPt>
            <c:idx val="13"/>
            <c:bubble3D val="0"/>
            <c:spPr>
              <a:solidFill>
                <a:srgbClr val="8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9F89-49C6-9F67-F86DE40D1D9F}"/>
              </c:ext>
            </c:extLst>
          </c:dPt>
          <c:dPt>
            <c:idx val="14"/>
            <c:bubble3D val="0"/>
            <c:spPr>
              <a:solidFill>
                <a:srgbClr val="00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E-9F89-49C6-9F67-F86DE40D1D9F}"/>
              </c:ext>
            </c:extLst>
          </c:dPt>
          <c:dPt>
            <c:idx val="15"/>
            <c:bubble3D val="0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9F89-49C6-9F67-F86DE40D1D9F}"/>
              </c:ext>
            </c:extLst>
          </c:dPt>
          <c:dPt>
            <c:idx val="16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0-9F89-49C6-9F67-F86DE40D1D9F}"/>
              </c:ext>
            </c:extLst>
          </c:dPt>
          <c:dPt>
            <c:idx val="17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9F89-49C6-9F67-F86DE40D1D9F}"/>
              </c:ext>
            </c:extLst>
          </c:dPt>
          <c:dPt>
            <c:idx val="18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2-9F89-49C6-9F67-F86DE40D1D9F}"/>
              </c:ext>
            </c:extLst>
          </c:dPt>
          <c:dPt>
            <c:idx val="19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9F89-49C6-9F67-F86DE40D1D9F}"/>
              </c:ext>
            </c:extLst>
          </c:dPt>
          <c:dPt>
            <c:idx val="2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4-9F89-49C6-9F67-F86DE40D1D9F}"/>
              </c:ext>
            </c:extLst>
          </c:dPt>
          <c:dPt>
            <c:idx val="21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9F89-49C6-9F67-F86DE40D1D9F}"/>
              </c:ext>
            </c:extLst>
          </c:dPt>
          <c:dPt>
            <c:idx val="22"/>
            <c:bubble3D val="0"/>
            <c:spPr>
              <a:solidFill>
                <a:srgbClr val="CC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6-9F89-49C6-9F67-F86DE40D1D9F}"/>
              </c:ext>
            </c:extLst>
          </c:dPt>
          <c:cat>
            <c:strRef>
              <c:f>(Strukturbilanz!$C$31:$C$43,Strukturbilanz!$C$47:$C$48,Strukturbilanz!$C$51:$C$52,Strukturbilanz!$C$55:$C$60)</c:f>
              <c:strCache>
                <c:ptCount val="23"/>
                <c:pt idx="0">
                  <c:v>Gezeichnetes Kapital</c:v>
                </c:pt>
                <c:pt idx="1">
                  <c:v>Kapitalrücklage</c:v>
                </c:pt>
                <c:pt idx="2">
                  <c:v>Gewinnrücklagen</c:v>
                </c:pt>
                <c:pt idx="3">
                  <c:v>Sonstiges Eigenkapital</c:v>
                </c:pt>
                <c:pt idx="4">
                  <c:v>Gewinnvortrag</c:v>
                </c:pt>
                <c:pt idx="5">
                  <c:v>Jahresüberschuss</c:v>
                </c:pt>
                <c:pt idx="6">
                  <c:v>Aufwend. für Erweiterung</c:v>
                </c:pt>
                <c:pt idx="7">
                  <c:v>Nicht passivierte Pensions-rückstellungen</c:v>
                </c:pt>
                <c:pt idx="8">
                  <c:v>Ausschüttungen</c:v>
                </c:pt>
                <c:pt idx="9">
                  <c:v>weitere Anpassungen</c:v>
                </c:pt>
                <c:pt idx="12">
                  <c:v>Sonderposten mit Rücklageanteil (50 %)</c:v>
                </c:pt>
                <c:pt idx="13">
                  <c:v>Langfristiges Fremdkapital,</c:v>
                </c:pt>
                <c:pt idx="14">
                  <c:v>Pensionsrückstellungen einschließlich der nicht passivierten)</c:v>
                </c:pt>
                <c:pt idx="15">
                  <c:v>Mittelfristiges Fremdkapital, </c:v>
                </c:pt>
                <c:pt idx="16">
                  <c:v>Sopo mit Rücklageanteil 50 %</c:v>
                </c:pt>
                <c:pt idx="17">
                  <c:v>Kurzfristiges Fremdkapital</c:v>
                </c:pt>
                <c:pt idx="18">
                  <c:v>Erhaltene Anzahlungen auf Bestellungen</c:v>
                </c:pt>
                <c:pt idx="19">
                  <c:v>Ausschüttungen</c:v>
                </c:pt>
                <c:pt idx="20">
                  <c:v>Steuerrückstellungen</c:v>
                </c:pt>
                <c:pt idx="21">
                  <c:v>sonstige Rückstellungen</c:v>
                </c:pt>
                <c:pt idx="22">
                  <c:v>Passive Rechnungsabgrenzung</c:v>
                </c:pt>
              </c:strCache>
            </c:strRef>
          </c:cat>
          <c:val>
            <c:numRef>
              <c:f>(Strukturbilanz!$F$31:$F$43,Strukturbilanz!$F$47:$F$48,Strukturbilanz!$F$51:$F$52,Strukturbilanz!$F$55:$F$60)</c:f>
              <c:numCache>
                <c:formatCode>#,##0.0</c:formatCode>
                <c:ptCount val="23"/>
                <c:pt idx="0">
                  <c:v>8000</c:v>
                </c:pt>
                <c:pt idx="1">
                  <c:v>0</c:v>
                </c:pt>
                <c:pt idx="2">
                  <c:v>560.20000000000005</c:v>
                </c:pt>
                <c:pt idx="4">
                  <c:v>0</c:v>
                </c:pt>
                <c:pt idx="5">
                  <c:v>1840.6</c:v>
                </c:pt>
                <c:pt idx="6">
                  <c:v>-28.6</c:v>
                </c:pt>
                <c:pt idx="7">
                  <c:v>-253</c:v>
                </c:pt>
                <c:pt idx="8">
                  <c:v>-840.6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900.2</c:v>
                </c:pt>
                <c:pt idx="13">
                  <c:v>1111</c:v>
                </c:pt>
                <c:pt idx="14">
                  <c:v>1653.6</c:v>
                </c:pt>
                <c:pt idx="15">
                  <c:v>120.4</c:v>
                </c:pt>
                <c:pt idx="16">
                  <c:v>900.2</c:v>
                </c:pt>
                <c:pt idx="17">
                  <c:v>2502.1999999999998</c:v>
                </c:pt>
                <c:pt idx="18">
                  <c:v>-80.3</c:v>
                </c:pt>
                <c:pt idx="19">
                  <c:v>840.6</c:v>
                </c:pt>
                <c:pt idx="20">
                  <c:v>520.4</c:v>
                </c:pt>
                <c:pt idx="21">
                  <c:v>1000.5</c:v>
                </c:pt>
                <c:pt idx="22">
                  <c:v>5.8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9F89-49C6-9F67-F86DE40D1D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260032102728732"/>
          <c:y val="7.2358900144717797E-3"/>
          <c:w val="0.3643659711075441"/>
          <c:h val="0.97829308963007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DE"/>
              <a:t>Struktur-GuV
Geschäftsjahr</a:t>
            </a:r>
          </a:p>
        </c:rich>
      </c:tx>
      <c:layout>
        <c:manualLayout>
          <c:xMode val="edge"/>
          <c:yMode val="edge"/>
          <c:x val="0.43832599118942733"/>
          <c:y val="3.12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361233480176212E-2"/>
          <c:y val="0.17067307692307693"/>
          <c:w val="0.8909691629955947"/>
          <c:h val="0.7692307692307692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('Struktur GUV'!$B$8,'Struktur GUV'!$B$12,'Struktur GUV'!$B$16,'Struktur GUV'!$B$22,'Struktur GUV'!$B$24,'Struktur GUV'!$B$27,'Struktur GUV'!$B$30,'Struktur GUV'!$B$31,'Struktur GUV'!$B$33)</c:f>
              <c:strCache>
                <c:ptCount val="9"/>
                <c:pt idx="0">
                  <c:v>Gesamtleistung (Summe 1 - 2)</c:v>
                </c:pt>
                <c:pt idx="1">
                  <c:v>Rohergebnis (Summe 1 bis 5)</c:v>
                </c:pt>
                <c:pt idx="2">
                  <c:v>Betriebsergebnis (Summe 1 - 8)</c:v>
                </c:pt>
                <c:pt idx="3">
                  <c:v>Finanzergebnis (Summe 9 - 13)</c:v>
                </c:pt>
                <c:pt idx="4">
                  <c:v>Ergebnis der gewöhnlichen Geschäftstätigkeit (Summe 1 - 14)</c:v>
                </c:pt>
                <c:pt idx="5">
                  <c:v>Ausserordentliches Ergebnis (Summe 16 - 17)</c:v>
                </c:pt>
                <c:pt idx="6">
                  <c:v>Summe Steuern</c:v>
                </c:pt>
                <c:pt idx="7">
                  <c:v>Jahresüberschuss (+) / Jahresfehlbetrag (-) (Summe 1 - 21)</c:v>
                </c:pt>
                <c:pt idx="8">
                  <c:v>Jahresüberschuss (+) / Jahresfehlbetrag (-) nach Ergebnisabführung (Summe 1 - 23)</c:v>
                </c:pt>
              </c:strCache>
            </c:strRef>
          </c:cat>
          <c:val>
            <c:numRef>
              <c:f>('Struktur GUV'!$C$8,'Struktur GUV'!$C$12,'Struktur GUV'!$C$16,'Struktur GUV'!$C$22,'Struktur GUV'!$C$24,'Struktur GUV'!$C$27,'Struktur GUV'!$C$30,'Struktur GUV'!$C$31,'Struktur GUV'!$C$33)</c:f>
              <c:numCache>
                <c:formatCode>\+#,##0.0;\-#,##0.0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0-8BCE-4C7B-ACC6-A5C76572B260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dLblPos val="outEnd"/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('Struktur GUV'!$B$8,'Struktur GUV'!$B$12,'Struktur GUV'!$B$16,'Struktur GUV'!$B$22,'Struktur GUV'!$B$24,'Struktur GUV'!$B$27,'Struktur GUV'!$B$30,'Struktur GUV'!$B$31,'Struktur GUV'!$B$33)</c:f>
              <c:strCache>
                <c:ptCount val="9"/>
                <c:pt idx="0">
                  <c:v>Gesamtleistung (Summe 1 - 2)</c:v>
                </c:pt>
                <c:pt idx="1">
                  <c:v>Rohergebnis (Summe 1 bis 5)</c:v>
                </c:pt>
                <c:pt idx="2">
                  <c:v>Betriebsergebnis (Summe 1 - 8)</c:v>
                </c:pt>
                <c:pt idx="3">
                  <c:v>Finanzergebnis (Summe 9 - 13)</c:v>
                </c:pt>
                <c:pt idx="4">
                  <c:v>Ergebnis der gewöhnlichen Geschäftstätigkeit (Summe 1 - 14)</c:v>
                </c:pt>
                <c:pt idx="5">
                  <c:v>Ausserordentliches Ergebnis (Summe 16 - 17)</c:v>
                </c:pt>
                <c:pt idx="6">
                  <c:v>Summe Steuern</c:v>
                </c:pt>
                <c:pt idx="7">
                  <c:v>Jahresüberschuss (+) / Jahresfehlbetrag (-) (Summe 1 - 21)</c:v>
                </c:pt>
                <c:pt idx="8">
                  <c:v>Jahresüberschuss (+) / Jahresfehlbetrag (-) nach Ergebnisabführung (Summe 1 - 23)</c:v>
                </c:pt>
              </c:strCache>
            </c:strRef>
          </c:cat>
          <c:val>
            <c:numRef>
              <c:f>('Struktur GUV'!$D$8,'Struktur GUV'!$D$12,'Struktur GUV'!$D$16,'Struktur GUV'!$D$22,'Struktur GUV'!$D$24,'Struktur GUV'!$D$27,'Struktur GUV'!$D$30,'Struktur GUV'!$D$31,'Struktur GUV'!$D$33)</c:f>
              <c:numCache>
                <c:formatCode>\+#,##0.0;\-#,##0.0</c:formatCode>
                <c:ptCount val="9"/>
                <c:pt idx="0">
                  <c:v>21734</c:v>
                </c:pt>
                <c:pt idx="1">
                  <c:v>14755.3</c:v>
                </c:pt>
                <c:pt idx="2">
                  <c:v>4019.9999999999991</c:v>
                </c:pt>
                <c:pt idx="3">
                  <c:v>-132.89999999999998</c:v>
                </c:pt>
                <c:pt idx="4">
                  <c:v>3887.099999999999</c:v>
                </c:pt>
                <c:pt idx="5">
                  <c:v>79</c:v>
                </c:pt>
                <c:pt idx="6">
                  <c:v>-2125.5</c:v>
                </c:pt>
                <c:pt idx="7">
                  <c:v>1840.599999999999</c:v>
                </c:pt>
                <c:pt idx="8">
                  <c:v>1840.599999999999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BCE-4C7B-ACC6-A5C76572B2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12989391"/>
        <c:axId val="1"/>
      </c:barChart>
      <c:catAx>
        <c:axId val="171298939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T€</a:t>
                </a:r>
              </a:p>
            </c:rich>
          </c:tx>
          <c:layout>
            <c:manualLayout>
              <c:xMode val="edge"/>
              <c:yMode val="edge"/>
              <c:x val="5.6167400881057268E-2"/>
              <c:y val="5.5288461538461536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12989391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sz="1600"/>
              <a:t>Strukturbilanz-Aktiva - Geschäftsjahr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0175152930580424"/>
          <c:y val="0.11131676722227904"/>
          <c:w val="0.51354770161153629"/>
          <c:h val="0.7297492358909683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3FC-47E1-8306-336855974B6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3FC-47E1-8306-336855974B6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43FC-47E1-8306-336855974B6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43FC-47E1-8306-336855974B68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43FC-47E1-8306-336855974B68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43FC-47E1-8306-336855974B68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43FC-47E1-8306-336855974B68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43FC-47E1-8306-336855974B68}"/>
              </c:ext>
            </c:extLst>
          </c:dPt>
          <c:cat>
            <c:strRef>
              <c:f>(Strukturbilanz!$C$7,Strukturbilanz!$C$10:$C$12,Strukturbilanz!$C$16,Strukturbilanz!$C$18:$C$20)</c:f>
              <c:strCache>
                <c:ptCount val="8"/>
                <c:pt idx="0">
                  <c:v>Aufwendungen für Erweiterung des Geschäftsbetriebes</c:v>
                </c:pt>
                <c:pt idx="1">
                  <c:v>Immaterielle Vermögensgegenstände</c:v>
                </c:pt>
                <c:pt idx="2">
                  <c:v>Sachanlagen</c:v>
                </c:pt>
                <c:pt idx="3">
                  <c:v>Finanzanlagen</c:v>
                </c:pt>
                <c:pt idx="4">
                  <c:v>Vorräte</c:v>
                </c:pt>
                <c:pt idx="5">
                  <c:v>1. Forderungen</c:v>
                </c:pt>
                <c:pt idx="6">
                  <c:v>2. sonstige Vermögensgegenstände, Rechnungsabgrenzungs-posten, Disagio</c:v>
                </c:pt>
                <c:pt idx="7">
                  <c:v>3. Geldwerte</c:v>
                </c:pt>
              </c:strCache>
            </c:strRef>
          </c:cat>
          <c:val>
            <c:numRef>
              <c:f>(Strukturbilanz!$F$7,Strukturbilanz!$F$10:$F$12,Strukturbilanz!$F$16,Strukturbilanz!$F$18:$F$20)</c:f>
              <c:numCache>
                <c:formatCode>#,##0.0</c:formatCode>
                <c:ptCount val="8"/>
                <c:pt idx="0">
                  <c:v>0</c:v>
                </c:pt>
                <c:pt idx="1">
                  <c:v>1108.4000000000001</c:v>
                </c:pt>
                <c:pt idx="2">
                  <c:v>9881.6</c:v>
                </c:pt>
                <c:pt idx="3">
                  <c:v>1541.1</c:v>
                </c:pt>
                <c:pt idx="4">
                  <c:v>1753.4</c:v>
                </c:pt>
                <c:pt idx="5">
                  <c:v>2900.2999999999997</c:v>
                </c:pt>
                <c:pt idx="6">
                  <c:v>157.10000000000002</c:v>
                </c:pt>
                <c:pt idx="7">
                  <c:v>1411.3000000000002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87-4511-84E0-1B1900B592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69049044611655797"/>
          <c:y val="0.15537853222892592"/>
          <c:w val="0.2805640472567168"/>
          <c:h val="0.769885582484007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33</xdr:row>
      <xdr:rowOff>76200</xdr:rowOff>
    </xdr:from>
    <xdr:to>
      <xdr:col>7</xdr:col>
      <xdr:colOff>600075</xdr:colOff>
      <xdr:row>74</xdr:row>
      <xdr:rowOff>19050</xdr:rowOff>
    </xdr:to>
    <xdr:graphicFrame macro="">
      <xdr:nvGraphicFramePr>
        <xdr:cNvPr id="2064" name="Diagram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74</xdr:row>
      <xdr:rowOff>123825</xdr:rowOff>
    </xdr:from>
    <xdr:to>
      <xdr:col>11</xdr:col>
      <xdr:colOff>266700</xdr:colOff>
      <xdr:row>99</xdr:row>
      <xdr:rowOff>38100</xdr:rowOff>
    </xdr:to>
    <xdr:graphicFrame macro="">
      <xdr:nvGraphicFramePr>
        <xdr:cNvPr id="2065" name="Diagramm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4761</xdr:colOff>
      <xdr:row>0</xdr:row>
      <xdr:rowOff>28575</xdr:rowOff>
    </xdr:from>
    <xdr:to>
      <xdr:col>8</xdr:col>
      <xdr:colOff>161925</xdr:colOff>
      <xdr:row>27</xdr:row>
      <xdr:rowOff>57150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H49"/>
  <sheetViews>
    <sheetView tabSelected="1" zoomScale="80" zoomScaleNormal="80" workbookViewId="0">
      <selection activeCell="D3" sqref="D3"/>
    </sheetView>
  </sheetViews>
  <sheetFormatPr baseColWidth="10" defaultRowHeight="12.75"/>
  <cols>
    <col min="1" max="1" width="3.42578125" style="3" customWidth="1"/>
    <col min="2" max="2" width="3.42578125" style="2" customWidth="1"/>
    <col min="3" max="3" width="3.140625" style="2" customWidth="1"/>
    <col min="4" max="4" width="48" style="1" customWidth="1"/>
    <col min="5" max="5" width="9.140625" customWidth="1"/>
    <col min="6" max="6" width="8.7109375" customWidth="1"/>
    <col min="7" max="7" width="9.7109375" customWidth="1"/>
    <col min="8" max="8" width="9.140625" customWidth="1"/>
  </cols>
  <sheetData>
    <row r="1" spans="1:8" ht="18">
      <c r="A1" s="176" t="str">
        <f>"Bilanz der Firma der Firma " &amp; D3</f>
        <v>Bilanz der Firma der Firma Buchhaus GmbH</v>
      </c>
      <c r="B1" s="176"/>
      <c r="C1" s="176"/>
      <c r="D1" s="176"/>
      <c r="E1" s="176"/>
      <c r="F1" s="176"/>
      <c r="G1" s="176"/>
      <c r="H1" s="176"/>
    </row>
    <row r="2" spans="1:8">
      <c r="D2" s="18"/>
      <c r="E2" s="3"/>
    </row>
    <row r="3" spans="1:8">
      <c r="A3" s="181" t="s">
        <v>171</v>
      </c>
      <c r="B3" s="181"/>
      <c r="C3" s="181"/>
      <c r="D3" s="141" t="s">
        <v>230</v>
      </c>
      <c r="E3" s="3"/>
    </row>
    <row r="4" spans="1:8" ht="24.75" customHeight="1">
      <c r="A4" s="182" t="s">
        <v>172</v>
      </c>
      <c r="B4" s="182"/>
      <c r="C4" s="182"/>
      <c r="D4" s="142">
        <v>2019</v>
      </c>
      <c r="E4" s="3"/>
    </row>
    <row r="5" spans="1:8">
      <c r="A5" s="78"/>
      <c r="E5" s="3"/>
    </row>
    <row r="6" spans="1:8">
      <c r="E6" s="178" t="str">
        <f>"Berichtsjahr "&amp;D4</f>
        <v>Berichtsjahr 2019</v>
      </c>
      <c r="F6" s="178"/>
      <c r="G6" s="179" t="str">
        <f>"Vorjahr "&amp;D4-1</f>
        <v>Vorjahr 2018</v>
      </c>
      <c r="H6" s="180"/>
    </row>
    <row r="7" spans="1:8" ht="13.5" thickBot="1">
      <c r="A7" s="4" t="s">
        <v>76</v>
      </c>
      <c r="E7" s="16" t="s">
        <v>110</v>
      </c>
      <c r="F7" s="16" t="s">
        <v>110</v>
      </c>
      <c r="G7" s="17" t="s">
        <v>110</v>
      </c>
      <c r="H7" s="16" t="s">
        <v>110</v>
      </c>
    </row>
    <row r="8" spans="1:8">
      <c r="G8" s="12"/>
      <c r="H8" s="13"/>
    </row>
    <row r="9" spans="1:8">
      <c r="A9" s="3" t="s">
        <v>0</v>
      </c>
      <c r="B9" s="5" t="s">
        <v>1</v>
      </c>
      <c r="E9" s="141">
        <v>28.6</v>
      </c>
      <c r="F9" s="100">
        <f>IF(E9&lt;&gt;"",E9,"")</f>
        <v>28.6</v>
      </c>
      <c r="G9" s="143">
        <v>0</v>
      </c>
      <c r="H9" s="105">
        <f>IF(G9&lt;&gt;"",G9,"")</f>
        <v>0</v>
      </c>
    </row>
    <row r="10" spans="1:8">
      <c r="F10" s="101"/>
      <c r="G10" s="12"/>
      <c r="H10" s="19"/>
    </row>
    <row r="11" spans="1:8">
      <c r="A11" s="3" t="s">
        <v>2</v>
      </c>
      <c r="B11" s="5" t="s">
        <v>3</v>
      </c>
      <c r="F11" s="101"/>
      <c r="G11" s="12"/>
      <c r="H11" s="19"/>
    </row>
    <row r="12" spans="1:8">
      <c r="B12" s="5" t="s">
        <v>4</v>
      </c>
      <c r="C12" s="2" t="s">
        <v>5</v>
      </c>
      <c r="F12" s="101"/>
      <c r="G12" s="12"/>
      <c r="H12" s="19"/>
    </row>
    <row r="13" spans="1:8">
      <c r="C13" s="5" t="s">
        <v>6</v>
      </c>
      <c r="D13" s="1" t="s">
        <v>7</v>
      </c>
      <c r="E13" s="141">
        <v>661.4</v>
      </c>
      <c r="F13" s="101"/>
      <c r="G13" s="143">
        <v>480.6</v>
      </c>
      <c r="H13" s="19"/>
    </row>
    <row r="14" spans="1:8">
      <c r="C14" s="5" t="s">
        <v>8</v>
      </c>
      <c r="D14" s="1" t="s">
        <v>9</v>
      </c>
      <c r="E14" s="141">
        <v>447</v>
      </c>
      <c r="F14" s="101"/>
      <c r="G14" s="143">
        <v>0</v>
      </c>
      <c r="H14" s="19"/>
    </row>
    <row r="15" spans="1:8">
      <c r="C15" s="5" t="s">
        <v>12</v>
      </c>
      <c r="D15" s="1" t="s">
        <v>27</v>
      </c>
      <c r="E15" s="141">
        <v>0</v>
      </c>
      <c r="F15" s="100">
        <f>IF(OR(E13&lt;&gt;"",E14&lt;&gt;"",E15&lt;&gt;""),SUM(E13:E15),"")</f>
        <v>1108.4000000000001</v>
      </c>
      <c r="G15" s="143">
        <v>0</v>
      </c>
      <c r="H15" s="105">
        <f>IF(OR(G13&lt;&gt;"",G14&lt;&gt;"",G15&lt;&gt;""),SUM(G13:G15),"")</f>
        <v>480.6</v>
      </c>
    </row>
    <row r="16" spans="1:8">
      <c r="B16" s="5" t="s">
        <v>10</v>
      </c>
      <c r="C16" s="2" t="s">
        <v>11</v>
      </c>
      <c r="F16" s="101"/>
      <c r="G16" s="12"/>
      <c r="H16" s="19"/>
    </row>
    <row r="17" spans="1:8" ht="25.5">
      <c r="C17" s="5" t="s">
        <v>6</v>
      </c>
      <c r="D17" s="1" t="s">
        <v>13</v>
      </c>
      <c r="E17" s="141">
        <v>6340.8</v>
      </c>
      <c r="F17" s="101"/>
      <c r="G17" s="143">
        <v>4960.3999999999996</v>
      </c>
      <c r="H17" s="19"/>
    </row>
    <row r="18" spans="1:8">
      <c r="C18" s="5" t="s">
        <v>8</v>
      </c>
      <c r="D18" s="1" t="s">
        <v>14</v>
      </c>
      <c r="E18" s="141">
        <v>2860.2</v>
      </c>
      <c r="F18" s="101"/>
      <c r="G18" s="143">
        <v>2480.1999999999998</v>
      </c>
      <c r="H18" s="19"/>
    </row>
    <row r="19" spans="1:8">
      <c r="C19" s="5" t="s">
        <v>12</v>
      </c>
      <c r="D19" s="1" t="s">
        <v>15</v>
      </c>
      <c r="E19" s="141">
        <v>680.6</v>
      </c>
      <c r="F19" s="101"/>
      <c r="G19" s="143">
        <v>540</v>
      </c>
      <c r="H19" s="19"/>
    </row>
    <row r="20" spans="1:8">
      <c r="C20" s="5" t="s">
        <v>23</v>
      </c>
      <c r="D20" s="1" t="s">
        <v>38</v>
      </c>
      <c r="E20" s="141">
        <v>0</v>
      </c>
      <c r="F20" s="100">
        <f>IF(OR(E17&lt;&gt;"",E18&lt;&gt;"",E19&lt;&gt;"",E20&lt;&gt;""),SUM(E17:E20),"")</f>
        <v>9881.6</v>
      </c>
      <c r="G20" s="143">
        <v>0</v>
      </c>
      <c r="H20" s="105">
        <f>IF(OR(G17&lt;&gt;"",G18&lt;&gt;"",G19&lt;&gt;"",G20&lt;&gt;""),SUM(G17:G20),"")</f>
        <v>7980.5999999999995</v>
      </c>
    </row>
    <row r="21" spans="1:8">
      <c r="B21" s="5" t="s">
        <v>16</v>
      </c>
      <c r="C21" s="2" t="s">
        <v>17</v>
      </c>
      <c r="F21" s="101"/>
      <c r="G21" s="12"/>
      <c r="H21" s="19"/>
    </row>
    <row r="22" spans="1:8">
      <c r="C22" s="5" t="s">
        <v>6</v>
      </c>
      <c r="D22" s="1" t="s">
        <v>18</v>
      </c>
      <c r="E22" s="141">
        <v>1420.8</v>
      </c>
      <c r="F22" s="101"/>
      <c r="G22" s="143">
        <v>0</v>
      </c>
      <c r="H22" s="19"/>
    </row>
    <row r="23" spans="1:8">
      <c r="C23" s="5" t="s">
        <v>8</v>
      </c>
      <c r="D23" s="1" t="s">
        <v>39</v>
      </c>
      <c r="E23" s="141"/>
      <c r="F23" s="101"/>
      <c r="G23" s="143">
        <v>0</v>
      </c>
      <c r="H23" s="19"/>
    </row>
    <row r="24" spans="1:8">
      <c r="C24" s="5" t="s">
        <v>12</v>
      </c>
      <c r="D24" s="1" t="s">
        <v>19</v>
      </c>
      <c r="E24" s="141">
        <v>120.3</v>
      </c>
      <c r="F24" s="101"/>
      <c r="G24" s="143">
        <v>120.3</v>
      </c>
      <c r="H24" s="19"/>
    </row>
    <row r="25" spans="1:8" ht="25.5">
      <c r="C25" s="5" t="s">
        <v>23</v>
      </c>
      <c r="D25" s="1" t="s">
        <v>40</v>
      </c>
      <c r="E25" s="141">
        <v>0</v>
      </c>
      <c r="F25" s="101"/>
      <c r="G25" s="143">
        <v>0</v>
      </c>
      <c r="H25" s="19"/>
    </row>
    <row r="26" spans="1:8">
      <c r="C26" s="5" t="s">
        <v>41</v>
      </c>
      <c r="D26" s="1" t="s">
        <v>42</v>
      </c>
      <c r="E26" s="141">
        <v>0</v>
      </c>
      <c r="F26" s="101"/>
      <c r="G26" s="143">
        <v>0</v>
      </c>
      <c r="H26" s="19"/>
    </row>
    <row r="27" spans="1:8">
      <c r="C27" s="5" t="s">
        <v>43</v>
      </c>
      <c r="D27" s="1" t="s">
        <v>44</v>
      </c>
      <c r="E27" s="141">
        <v>0</v>
      </c>
      <c r="F27" s="100">
        <f>IF(OR(E22&lt;&gt;"",E23&lt;&gt;"",E24&lt;&gt;"",E25&lt;&gt;"",E26&lt;&gt;"",E27&lt;&gt;""),SUM(E22:E27),"")</f>
        <v>1541.1</v>
      </c>
      <c r="G27" s="143">
        <v>0</v>
      </c>
      <c r="H27" s="105">
        <f>IF(OR(G22&lt;&gt;"",G23&lt;&gt;"",G24&lt;&gt;"",G25&lt;&gt;"",G26&lt;&gt;"",G27&lt;&gt;""),SUM(G22:G27),"")</f>
        <v>120.3</v>
      </c>
    </row>
    <row r="28" spans="1:8">
      <c r="F28" s="101"/>
      <c r="G28" s="12"/>
      <c r="H28" s="19"/>
    </row>
    <row r="29" spans="1:8">
      <c r="A29" s="3" t="s">
        <v>20</v>
      </c>
      <c r="B29" s="5" t="s">
        <v>21</v>
      </c>
      <c r="F29" s="101"/>
      <c r="G29" s="12"/>
      <c r="H29" s="19"/>
    </row>
    <row r="30" spans="1:8">
      <c r="B30" s="5" t="s">
        <v>4</v>
      </c>
      <c r="C30" s="2" t="s">
        <v>22</v>
      </c>
      <c r="F30" s="101"/>
      <c r="G30" s="12"/>
      <c r="H30" s="19"/>
    </row>
    <row r="31" spans="1:8">
      <c r="C31" s="5" t="s">
        <v>6</v>
      </c>
      <c r="D31" s="1" t="s">
        <v>24</v>
      </c>
      <c r="E31" s="141">
        <v>982.3</v>
      </c>
      <c r="F31" s="101"/>
      <c r="G31" s="143">
        <v>886.4</v>
      </c>
      <c r="H31" s="19"/>
    </row>
    <row r="32" spans="1:8">
      <c r="C32" s="5" t="s">
        <v>8</v>
      </c>
      <c r="D32" s="1" t="s">
        <v>25</v>
      </c>
      <c r="E32" s="141">
        <v>320.60000000000002</v>
      </c>
      <c r="F32" s="101"/>
      <c r="G32" s="143">
        <v>280.3</v>
      </c>
      <c r="H32" s="19"/>
    </row>
    <row r="33" spans="1:8">
      <c r="C33" s="5" t="s">
        <v>12</v>
      </c>
      <c r="D33" s="1" t="s">
        <v>26</v>
      </c>
      <c r="E33" s="141">
        <v>480.7</v>
      </c>
      <c r="F33" s="101"/>
      <c r="G33" s="143">
        <v>140.6</v>
      </c>
      <c r="H33" s="19"/>
    </row>
    <row r="34" spans="1:8">
      <c r="C34" s="5" t="s">
        <v>23</v>
      </c>
      <c r="D34" s="1" t="s">
        <v>27</v>
      </c>
      <c r="E34" s="141">
        <v>50.1</v>
      </c>
      <c r="F34" s="100">
        <f>IF(OR(E31&lt;&gt;"",E32&lt;&gt;"",E33&lt;&gt;"",E34&lt;&gt;""),SUM(E31:E34),"")</f>
        <v>1833.7</v>
      </c>
      <c r="G34" s="143">
        <v>80.400000000000006</v>
      </c>
      <c r="H34" s="105">
        <f>IF(OR(G31&lt;&gt;"",G32&lt;&gt;"",G33&lt;&gt;"",G34&lt;&gt;""),SUM(G31:G34),"")</f>
        <v>1387.7</v>
      </c>
    </row>
    <row r="35" spans="1:8">
      <c r="B35" s="5" t="s">
        <v>10</v>
      </c>
      <c r="C35" s="2" t="s">
        <v>28</v>
      </c>
      <c r="F35" s="101"/>
      <c r="G35" s="12"/>
      <c r="H35" s="19"/>
    </row>
    <row r="36" spans="1:8">
      <c r="C36" s="5" t="s">
        <v>6</v>
      </c>
      <c r="D36" s="1" t="s">
        <v>29</v>
      </c>
      <c r="E36" s="141">
        <v>2650.2</v>
      </c>
      <c r="F36" s="101"/>
      <c r="G36" s="143">
        <v>2600.6</v>
      </c>
      <c r="H36" s="19"/>
    </row>
    <row r="37" spans="1:8">
      <c r="C37" s="5" t="s">
        <v>8</v>
      </c>
      <c r="D37" s="1" t="s">
        <v>30</v>
      </c>
      <c r="E37" s="141">
        <v>250.1</v>
      </c>
      <c r="F37" s="101"/>
      <c r="G37" s="143">
        <v>0</v>
      </c>
      <c r="H37" s="19"/>
    </row>
    <row r="38" spans="1:8" ht="25.5">
      <c r="C38" s="5" t="s">
        <v>12</v>
      </c>
      <c r="D38" s="1" t="s">
        <v>45</v>
      </c>
      <c r="E38" s="141">
        <v>0</v>
      </c>
      <c r="F38" s="101"/>
      <c r="G38" s="143">
        <v>0</v>
      </c>
      <c r="H38" s="19"/>
    </row>
    <row r="39" spans="1:8">
      <c r="C39" s="5" t="s">
        <v>23</v>
      </c>
      <c r="D39" s="1" t="s">
        <v>31</v>
      </c>
      <c r="E39" s="141">
        <v>80.400000000000006</v>
      </c>
      <c r="F39" s="100">
        <f>IF(OR(E36&lt;&gt;"",E37&lt;&gt;"",E38&lt;&gt;"",E39&lt;&gt;""),SUM(E36:E39),"")</f>
        <v>2980.7</v>
      </c>
      <c r="G39" s="143">
        <v>90.4</v>
      </c>
      <c r="H39" s="105">
        <f>IF(OR(G36&lt;&gt;"",G37&lt;&gt;"",G38&lt;&gt;"",G39&lt;&gt;""),SUM(G36:G39),"")</f>
        <v>2691</v>
      </c>
    </row>
    <row r="40" spans="1:8">
      <c r="B40" s="5" t="s">
        <v>16</v>
      </c>
      <c r="C40" s="2" t="s">
        <v>32</v>
      </c>
      <c r="F40" s="101"/>
      <c r="G40" s="12"/>
      <c r="H40" s="19"/>
    </row>
    <row r="41" spans="1:8">
      <c r="B41" s="5"/>
      <c r="C41" s="5" t="s">
        <v>6</v>
      </c>
      <c r="D41" s="1" t="s">
        <v>18</v>
      </c>
      <c r="E41" s="141">
        <v>0</v>
      </c>
      <c r="F41" s="101"/>
      <c r="G41" s="143">
        <v>0</v>
      </c>
      <c r="H41" s="19"/>
    </row>
    <row r="42" spans="1:8">
      <c r="B42" s="5"/>
      <c r="C42" s="5" t="s">
        <v>8</v>
      </c>
      <c r="D42" s="1" t="s">
        <v>46</v>
      </c>
      <c r="E42" s="141">
        <v>0</v>
      </c>
      <c r="F42" s="101"/>
      <c r="G42" s="143">
        <v>0</v>
      </c>
      <c r="H42" s="19"/>
    </row>
    <row r="43" spans="1:8">
      <c r="C43" s="5" t="s">
        <v>12</v>
      </c>
      <c r="D43" s="1" t="s">
        <v>33</v>
      </c>
      <c r="E43" s="141">
        <v>430.6</v>
      </c>
      <c r="F43" s="100">
        <f>IF(OR(E41&lt;&gt;"",E42&lt;&gt;"",E43&lt;&gt;""),SUM(E41:E43),"")</f>
        <v>430.6</v>
      </c>
      <c r="G43" s="143">
        <v>2080.4</v>
      </c>
      <c r="H43" s="105">
        <f>IF(OR(G41&lt;&gt;"",G42&lt;&gt;"",G43&lt;&gt;""),SUM(G41:G43),"")</f>
        <v>2080.4</v>
      </c>
    </row>
    <row r="44" spans="1:8">
      <c r="C44" s="5"/>
      <c r="F44" s="101"/>
      <c r="G44" s="12"/>
      <c r="H44" s="19"/>
    </row>
    <row r="45" spans="1:8" ht="24.75" customHeight="1">
      <c r="B45" s="5" t="s">
        <v>34</v>
      </c>
      <c r="C45" s="177" t="s">
        <v>35</v>
      </c>
      <c r="D45" s="177"/>
      <c r="E45" s="141">
        <v>980.7</v>
      </c>
      <c r="F45" s="102">
        <f>IF(E45&lt;&gt;"",E45,"")</f>
        <v>980.7</v>
      </c>
      <c r="G45" s="143">
        <v>730.7</v>
      </c>
      <c r="H45" s="105">
        <f>IF(G45&lt;&gt;"",G45,"")</f>
        <v>730.7</v>
      </c>
    </row>
    <row r="46" spans="1:8">
      <c r="F46" s="101"/>
      <c r="G46" s="12"/>
      <c r="H46" s="19"/>
    </row>
    <row r="47" spans="1:8">
      <c r="A47" s="3" t="s">
        <v>36</v>
      </c>
      <c r="B47" s="5" t="s">
        <v>37</v>
      </c>
      <c r="E47" s="141">
        <v>76.7</v>
      </c>
      <c r="F47" s="100">
        <f>IF(E47&lt;&gt;"",E47,"")</f>
        <v>76.7</v>
      </c>
      <c r="G47" s="143">
        <v>85.6</v>
      </c>
      <c r="H47" s="105">
        <f>IF(G47&lt;&gt;"",G47,"")</f>
        <v>85.6</v>
      </c>
    </row>
    <row r="48" spans="1:8" ht="13.5" thickBot="1">
      <c r="F48" s="103"/>
      <c r="G48" s="12"/>
      <c r="H48" s="19"/>
    </row>
    <row r="49" spans="1:8" ht="13.5" thickBot="1">
      <c r="A49" s="3" t="s">
        <v>111</v>
      </c>
      <c r="F49" s="104">
        <f>IF(OR(F9&lt;&gt;"",F15&lt;&gt;"",F20&lt;&gt;"",F27&lt;&gt;"",F34&lt;&gt;"",F39&lt;&gt;"",F43&lt;&gt;"",F45&lt;&gt;"",F47&lt;&gt;""),ROUND(SUM(F9:F47),1),"")</f>
        <v>18862.099999999999</v>
      </c>
      <c r="G49" s="12"/>
      <c r="H49" s="104">
        <f>IF(OR(H9&lt;&gt;"",H15&lt;&gt;"",H20&lt;&gt;"",H27&lt;&gt;"",H34&lt;&gt;"",H39&lt;&gt;"",H43&lt;&gt;"",H45&lt;&gt;"",H47&lt;&gt;""),ROUND(SUM(H9:H47),1),"")</f>
        <v>15556.9</v>
      </c>
    </row>
  </sheetData>
  <sheetProtection sheet="1" objects="1" scenarios="1"/>
  <mergeCells count="6">
    <mergeCell ref="A1:H1"/>
    <mergeCell ref="C45:D45"/>
    <mergeCell ref="E6:F6"/>
    <mergeCell ref="G6:H6"/>
    <mergeCell ref="A3:C3"/>
    <mergeCell ref="A4:C4"/>
  </mergeCells>
  <phoneticPr fontId="0" type="noConversion"/>
  <pageMargins left="0.59055118110236227" right="0.39370078740157483" top="0.98425196850393704" bottom="0.98425196850393704" header="0.51181102362204722" footer="0.51181102362204722"/>
  <pageSetup paperSize="9" orientation="portrait" r:id="rId1"/>
  <headerFooter alignWithMargins="0">
    <oddFooter>&amp;L&amp;A&amp;C&amp;8&amp;P / &amp;N&amp;R&amp;8&amp;D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9"/>
  <dimension ref="A1:H92"/>
  <sheetViews>
    <sheetView workbookViewId="0">
      <selection activeCell="I74" sqref="I74"/>
    </sheetView>
  </sheetViews>
  <sheetFormatPr baseColWidth="10" defaultRowHeight="12.75"/>
  <cols>
    <col min="1" max="1" width="31.140625" customWidth="1"/>
    <col min="2" max="2" width="14.28515625" customWidth="1"/>
    <col min="3" max="3" width="12" customWidth="1"/>
    <col min="4" max="4" width="2.140625" bestFit="1" customWidth="1"/>
    <col min="5" max="5" width="7.7109375" customWidth="1"/>
  </cols>
  <sheetData>
    <row r="1" spans="1:8" ht="18">
      <c r="A1" s="94" t="str">
        <f>"Kennzahlen zur Finanzlage für die " &amp;Aktiva!D3</f>
        <v>Kennzahlen zur Finanzlage für die Buchhaus GmbH</v>
      </c>
      <c r="B1" s="93"/>
      <c r="C1" s="93"/>
      <c r="D1" s="93"/>
      <c r="E1" s="93"/>
      <c r="F1" s="93"/>
      <c r="G1" s="91"/>
      <c r="H1" s="91"/>
    </row>
    <row r="5" spans="1:8" ht="13.5" thickBot="1">
      <c r="A5" s="75" t="s">
        <v>253</v>
      </c>
      <c r="B5" s="28" t="s">
        <v>47</v>
      </c>
      <c r="C5" s="28" t="s">
        <v>174</v>
      </c>
    </row>
    <row r="6" spans="1:8">
      <c r="B6" t="s">
        <v>3</v>
      </c>
    </row>
    <row r="8" spans="1:8" ht="13.5" thickBot="1">
      <c r="A8" s="79" t="s">
        <v>112</v>
      </c>
      <c r="B8" s="48">
        <f>Strukturbilanz!F44</f>
        <v>10178.800000000001</v>
      </c>
      <c r="C8" s="28" t="s">
        <v>174</v>
      </c>
      <c r="D8" s="190" t="s">
        <v>170</v>
      </c>
      <c r="E8" s="191">
        <f>B8/B9</f>
        <v>0.81228303979698513</v>
      </c>
    </row>
    <row r="9" spans="1:8">
      <c r="A9" s="79"/>
      <c r="B9" s="192">
        <f>Strukturbilanz!$F$13</f>
        <v>12531.1</v>
      </c>
      <c r="C9" s="192"/>
      <c r="D9" s="190"/>
      <c r="E9" s="191"/>
    </row>
    <row r="10" spans="1:8">
      <c r="A10" s="79"/>
    </row>
    <row r="11" spans="1:8" ht="13.5" thickBot="1">
      <c r="A11" s="79" t="s">
        <v>113</v>
      </c>
      <c r="B11" s="48">
        <f>Strukturbilanz!I44</f>
        <v>9117.2999999999993</v>
      </c>
      <c r="C11" s="28" t="s">
        <v>174</v>
      </c>
      <c r="D11" s="190" t="s">
        <v>170</v>
      </c>
      <c r="E11" s="191">
        <f>B11/B12</f>
        <v>1.0624366369515821</v>
      </c>
    </row>
    <row r="12" spans="1:8">
      <c r="B12" s="192">
        <f>Strukturbilanz!$I$13</f>
        <v>8581.4999999999982</v>
      </c>
      <c r="C12" s="192"/>
      <c r="D12" s="190"/>
      <c r="E12" s="191"/>
    </row>
    <row r="13" spans="1:8">
      <c r="B13" s="82"/>
      <c r="C13" s="82"/>
      <c r="D13" s="76"/>
      <c r="E13" s="80"/>
    </row>
    <row r="14" spans="1:8">
      <c r="B14" s="82"/>
      <c r="C14" s="82"/>
      <c r="D14" s="76"/>
      <c r="E14" s="80"/>
    </row>
    <row r="15" spans="1:8" ht="26.25" thickBot="1">
      <c r="A15" s="84" t="s">
        <v>254</v>
      </c>
      <c r="B15" s="34" t="s">
        <v>194</v>
      </c>
      <c r="C15" s="28" t="s">
        <v>174</v>
      </c>
    </row>
    <row r="16" spans="1:8">
      <c r="B16" t="s">
        <v>3</v>
      </c>
    </row>
    <row r="18" spans="1:5" ht="13.5" thickBot="1">
      <c r="A18" s="79" t="s">
        <v>112</v>
      </c>
      <c r="B18" s="48">
        <f>Strukturbilanz!F44+Strukturbilanz!F49</f>
        <v>12943.400000000001</v>
      </c>
      <c r="C18" s="28" t="s">
        <v>174</v>
      </c>
      <c r="D18" s="190" t="s">
        <v>170</v>
      </c>
      <c r="E18" s="191">
        <f>B18/B19</f>
        <v>1.0329021394769813</v>
      </c>
    </row>
    <row r="19" spans="1:5">
      <c r="A19" s="79"/>
      <c r="B19" s="192">
        <f>Strukturbilanz!$F$13</f>
        <v>12531.1</v>
      </c>
      <c r="C19" s="192"/>
      <c r="D19" s="190"/>
      <c r="E19" s="191"/>
    </row>
    <row r="20" spans="1:5">
      <c r="A20" s="79"/>
    </row>
    <row r="21" spans="1:5" ht="13.5" thickBot="1">
      <c r="A21" s="79" t="s">
        <v>113</v>
      </c>
      <c r="B21" s="48">
        <f>Strukturbilanz!I44+Strukturbilanz!I49</f>
        <v>11336.699999999999</v>
      </c>
      <c r="C21" s="28" t="s">
        <v>174</v>
      </c>
      <c r="D21" s="190" t="s">
        <v>170</v>
      </c>
      <c r="E21" s="191">
        <f>B21/B22</f>
        <v>1.321062751267261</v>
      </c>
    </row>
    <row r="22" spans="1:5">
      <c r="B22" s="192">
        <f>Strukturbilanz!$I$13</f>
        <v>8581.4999999999982</v>
      </c>
      <c r="C22" s="192"/>
      <c r="D22" s="190"/>
      <c r="E22" s="191"/>
    </row>
    <row r="23" spans="1:5">
      <c r="B23" s="82"/>
      <c r="C23" s="82"/>
      <c r="D23" s="76"/>
      <c r="E23" s="80"/>
    </row>
    <row r="24" spans="1:5">
      <c r="B24" s="82"/>
      <c r="C24" s="82"/>
      <c r="D24" s="76"/>
      <c r="E24" s="80"/>
    </row>
    <row r="25" spans="1:5" ht="13.5" thickBot="1">
      <c r="A25" s="75" t="s">
        <v>255</v>
      </c>
      <c r="B25" s="28" t="s">
        <v>195</v>
      </c>
      <c r="C25" s="28" t="s">
        <v>174</v>
      </c>
    </row>
    <row r="26" spans="1:5">
      <c r="B26" t="s">
        <v>196</v>
      </c>
    </row>
    <row r="28" spans="1:5" ht="13.5" thickBot="1">
      <c r="A28" s="79" t="s">
        <v>112</v>
      </c>
      <c r="B28" s="48">
        <f>Strukturbilanz!F20</f>
        <v>1411.3000000000002</v>
      </c>
      <c r="C28" s="28" t="s">
        <v>174</v>
      </c>
      <c r="D28" s="190" t="s">
        <v>170</v>
      </c>
      <c r="E28" s="191">
        <f>B28/B29</f>
        <v>0.29468387204543561</v>
      </c>
    </row>
    <row r="29" spans="1:5">
      <c r="A29" s="79"/>
      <c r="B29" s="192">
        <f>Strukturbilanz!$F$61</f>
        <v>4789.2</v>
      </c>
      <c r="C29" s="192"/>
      <c r="D29" s="190"/>
      <c r="E29" s="191"/>
    </row>
    <row r="30" spans="1:5">
      <c r="A30" s="79"/>
    </row>
    <row r="31" spans="1:5" ht="13.5" thickBot="1">
      <c r="A31" s="79" t="s">
        <v>113</v>
      </c>
      <c r="B31" s="48">
        <f>Strukturbilanz!I20</f>
        <v>2811.1000000000004</v>
      </c>
      <c r="C31" s="28" t="s">
        <v>174</v>
      </c>
      <c r="D31" s="190" t="s">
        <v>170</v>
      </c>
      <c r="E31" s="191">
        <f>B31/B32</f>
        <v>0.83790873051357739</v>
      </c>
    </row>
    <row r="32" spans="1:5">
      <c r="B32" s="192">
        <f>Strukturbilanz!$I$61</f>
        <v>3354.8999999999996</v>
      </c>
      <c r="C32" s="192"/>
      <c r="D32" s="190"/>
      <c r="E32" s="191"/>
    </row>
    <row r="33" spans="1:5">
      <c r="B33" s="82"/>
      <c r="C33" s="82"/>
      <c r="D33" s="76"/>
      <c r="E33" s="80"/>
    </row>
    <row r="34" spans="1:5">
      <c r="B34" s="82"/>
      <c r="C34" s="82"/>
      <c r="D34" s="76"/>
      <c r="E34" s="80"/>
    </row>
    <row r="35" spans="1:5" ht="26.25" thickBot="1">
      <c r="A35" s="75" t="s">
        <v>256</v>
      </c>
      <c r="B35" s="34" t="s">
        <v>197</v>
      </c>
      <c r="C35" s="28" t="s">
        <v>174</v>
      </c>
    </row>
    <row r="36" spans="1:5">
      <c r="B36" t="s">
        <v>196</v>
      </c>
    </row>
    <row r="38" spans="1:5" ht="13.5" thickBot="1">
      <c r="A38" s="79" t="s">
        <v>112</v>
      </c>
      <c r="B38" s="48">
        <f>Strukturbilanz!F18+Strukturbilanz!F19+Strukturbilanz!F20</f>
        <v>4468.7</v>
      </c>
      <c r="C38" s="28" t="s">
        <v>174</v>
      </c>
      <c r="D38" s="190" t="s">
        <v>170</v>
      </c>
      <c r="E38" s="191">
        <f>B38/B39</f>
        <v>0.93307859350204625</v>
      </c>
    </row>
    <row r="39" spans="1:5">
      <c r="A39" s="79"/>
      <c r="B39" s="192">
        <f>Strukturbilanz!$F$61</f>
        <v>4789.2</v>
      </c>
      <c r="C39" s="192"/>
      <c r="D39" s="190"/>
      <c r="E39" s="191"/>
    </row>
    <row r="40" spans="1:5">
      <c r="A40" s="79"/>
    </row>
    <row r="41" spans="1:5" ht="13.5" thickBot="1">
      <c r="A41" s="79" t="s">
        <v>113</v>
      </c>
      <c r="B41" s="48">
        <f>Strukturbilanz!I18+Strukturbilanz!I19+Strukturbilanz!I20</f>
        <v>5587.7000000000007</v>
      </c>
      <c r="C41" s="28" t="s">
        <v>174</v>
      </c>
      <c r="D41" s="190" t="s">
        <v>170</v>
      </c>
      <c r="E41" s="191">
        <f>B41/B42</f>
        <v>1.6655339950520138</v>
      </c>
    </row>
    <row r="42" spans="1:5">
      <c r="B42" s="192">
        <f>Strukturbilanz!$I$61</f>
        <v>3354.8999999999996</v>
      </c>
      <c r="C42" s="192"/>
      <c r="D42" s="190"/>
      <c r="E42" s="191"/>
    </row>
    <row r="43" spans="1:5">
      <c r="B43" s="82"/>
      <c r="C43" s="82"/>
      <c r="D43" s="76"/>
      <c r="E43" s="80"/>
    </row>
    <row r="44" spans="1:5">
      <c r="B44" s="82"/>
      <c r="C44" s="82"/>
      <c r="D44" s="76"/>
      <c r="E44" s="80"/>
    </row>
    <row r="45" spans="1:5" ht="13.5" thickBot="1">
      <c r="A45" s="75" t="s">
        <v>257</v>
      </c>
      <c r="B45" s="28" t="s">
        <v>21</v>
      </c>
      <c r="C45" s="28" t="s">
        <v>174</v>
      </c>
    </row>
    <row r="46" spans="1:5">
      <c r="B46" t="s">
        <v>196</v>
      </c>
    </row>
    <row r="48" spans="1:5" ht="13.5" thickBot="1">
      <c r="A48" s="79" t="s">
        <v>112</v>
      </c>
      <c r="B48" s="48">
        <f>Strukturbilanz!F21</f>
        <v>6222.1</v>
      </c>
      <c r="C48" s="28" t="s">
        <v>174</v>
      </c>
      <c r="D48" s="190" t="s">
        <v>170</v>
      </c>
      <c r="E48" s="191">
        <f>B48/B49</f>
        <v>1.2991940198780592</v>
      </c>
    </row>
    <row r="49" spans="1:5">
      <c r="A49" s="79"/>
      <c r="B49" s="192">
        <f>Strukturbilanz!$F$61</f>
        <v>4789.2</v>
      </c>
      <c r="C49" s="192"/>
      <c r="D49" s="190"/>
      <c r="E49" s="191"/>
    </row>
    <row r="50" spans="1:5">
      <c r="A50" s="79"/>
    </row>
    <row r="51" spans="1:5" ht="13.5" thickBot="1">
      <c r="A51" s="79" t="s">
        <v>113</v>
      </c>
      <c r="B51" s="48">
        <f>Strukturbilanz!I21</f>
        <v>6945.2000000000007</v>
      </c>
      <c r="C51" s="28" t="s">
        <v>174</v>
      </c>
      <c r="D51" s="190" t="s">
        <v>170</v>
      </c>
      <c r="E51" s="191">
        <f>B51/B52</f>
        <v>2.0701660258129904</v>
      </c>
    </row>
    <row r="52" spans="1:5">
      <c r="B52" s="192">
        <f>Strukturbilanz!$I$61</f>
        <v>3354.8999999999996</v>
      </c>
      <c r="C52" s="192"/>
      <c r="D52" s="190"/>
      <c r="E52" s="191"/>
    </row>
    <row r="53" spans="1:5">
      <c r="B53" s="82"/>
      <c r="C53" s="82"/>
      <c r="D53" s="76"/>
      <c r="E53" s="80"/>
    </row>
    <row r="54" spans="1:5">
      <c r="B54" s="82"/>
      <c r="C54" s="82"/>
      <c r="D54" s="76"/>
      <c r="E54" s="80"/>
    </row>
    <row r="55" spans="1:5">
      <c r="A55" s="75" t="s">
        <v>258</v>
      </c>
      <c r="B55" s="85" t="s">
        <v>199</v>
      </c>
      <c r="C55" s="85"/>
    </row>
    <row r="56" spans="1:5">
      <c r="B56" t="s">
        <v>155</v>
      </c>
    </row>
    <row r="58" spans="1:5">
      <c r="A58" s="79" t="s">
        <v>112</v>
      </c>
      <c r="B58" s="15">
        <f>Strukturbilanz!F21</f>
        <v>6222.1</v>
      </c>
      <c r="C58" s="13" t="s">
        <v>198</v>
      </c>
      <c r="D58" s="190" t="s">
        <v>170</v>
      </c>
      <c r="E58" s="201">
        <f>B58-B59</f>
        <v>1432.9000000000005</v>
      </c>
    </row>
    <row r="59" spans="1:5">
      <c r="A59" s="79"/>
      <c r="B59" s="86">
        <f>Strukturbilanz!$F$61</f>
        <v>4789.2</v>
      </c>
      <c r="C59" s="86"/>
      <c r="D59" s="190"/>
      <c r="E59" s="201"/>
    </row>
    <row r="60" spans="1:5">
      <c r="A60" s="79"/>
    </row>
    <row r="61" spans="1:5">
      <c r="A61" s="79" t="s">
        <v>113</v>
      </c>
      <c r="B61" s="15">
        <f>Strukturbilanz!I21</f>
        <v>6945.2000000000007</v>
      </c>
      <c r="C61" s="13" t="s">
        <v>198</v>
      </c>
      <c r="D61" s="190" t="s">
        <v>170</v>
      </c>
      <c r="E61" s="201">
        <f>B61-B62</f>
        <v>3590.3000000000011</v>
      </c>
    </row>
    <row r="62" spans="1:5">
      <c r="B62" s="86">
        <f>Strukturbilanz!I61</f>
        <v>3354.8999999999996</v>
      </c>
      <c r="C62" s="86"/>
      <c r="D62" s="190"/>
      <c r="E62" s="201"/>
    </row>
    <row r="63" spans="1:5">
      <c r="B63" s="82"/>
      <c r="C63" s="82"/>
      <c r="D63" s="76"/>
      <c r="E63" s="80"/>
    </row>
    <row r="64" spans="1:5">
      <c r="B64" s="82"/>
      <c r="C64" s="82"/>
      <c r="D64" s="76"/>
      <c r="E64" s="80"/>
    </row>
    <row r="65" spans="1:5" ht="13.5" thickBot="1">
      <c r="A65" s="75" t="s">
        <v>259</v>
      </c>
      <c r="B65" s="28" t="s">
        <v>21</v>
      </c>
      <c r="C65" s="28" t="s">
        <v>174</v>
      </c>
    </row>
    <row r="66" spans="1:5">
      <c r="A66" s="96"/>
      <c r="B66" s="96" t="s">
        <v>196</v>
      </c>
      <c r="C66" s="96"/>
      <c r="D66" s="96"/>
      <c r="E66" s="96"/>
    </row>
    <row r="67" spans="1:5">
      <c r="A67" s="96"/>
      <c r="B67" s="96"/>
      <c r="C67" s="96"/>
      <c r="D67" s="96"/>
      <c r="E67" s="96"/>
    </row>
    <row r="68" spans="1:5" ht="13.5" thickBot="1">
      <c r="A68" s="97" t="s">
        <v>112</v>
      </c>
      <c r="B68" s="98">
        <f>Strukturbilanz!F41</f>
        <v>0</v>
      </c>
      <c r="C68" s="99" t="s">
        <v>174</v>
      </c>
      <c r="D68" s="204" t="s">
        <v>170</v>
      </c>
      <c r="E68" s="205">
        <f>B68/B69</f>
        <v>0</v>
      </c>
    </row>
    <row r="69" spans="1:5">
      <c r="A69" s="97"/>
      <c r="B69" s="206">
        <f>Strukturbilanz!$F$61</f>
        <v>4789.2</v>
      </c>
      <c r="C69" s="206"/>
      <c r="D69" s="204"/>
      <c r="E69" s="205"/>
    </row>
    <row r="70" spans="1:5">
      <c r="A70" s="97"/>
      <c r="B70" s="96"/>
      <c r="C70" s="96"/>
      <c r="D70" s="96"/>
      <c r="E70" s="96"/>
    </row>
    <row r="71" spans="1:5" ht="13.5" thickBot="1">
      <c r="A71" s="97" t="s">
        <v>113</v>
      </c>
      <c r="B71" s="98">
        <f>Strukturbilanz!I41</f>
        <v>0</v>
      </c>
      <c r="C71" s="99" t="s">
        <v>174</v>
      </c>
      <c r="D71" s="204" t="s">
        <v>170</v>
      </c>
      <c r="E71" s="205">
        <f>B71/B72</f>
        <v>0</v>
      </c>
    </row>
    <row r="72" spans="1:5">
      <c r="A72" s="96"/>
      <c r="B72" s="206">
        <f>Strukturbilanz!$I$61</f>
        <v>3354.8999999999996</v>
      </c>
      <c r="C72" s="206"/>
      <c r="D72" s="204"/>
      <c r="E72" s="205"/>
    </row>
    <row r="73" spans="1:5">
      <c r="B73" s="82"/>
      <c r="C73" s="82"/>
      <c r="D73" s="76"/>
      <c r="E73" s="80"/>
    </row>
    <row r="74" spans="1:5">
      <c r="B74" s="82"/>
      <c r="C74" s="82"/>
      <c r="D74" s="76"/>
      <c r="E74" s="80"/>
    </row>
    <row r="75" spans="1:5">
      <c r="B75" s="82"/>
      <c r="C75" s="82"/>
      <c r="D75" s="76"/>
      <c r="E75" s="80"/>
    </row>
    <row r="76" spans="1:5">
      <c r="B76" s="82"/>
      <c r="C76" s="82"/>
      <c r="D76" s="76"/>
      <c r="E76" s="80"/>
    </row>
    <row r="77" spans="1:5">
      <c r="B77" s="82"/>
      <c r="C77" s="82"/>
      <c r="D77" s="76"/>
      <c r="E77" s="80"/>
    </row>
    <row r="78" spans="1:5">
      <c r="B78" s="82"/>
      <c r="C78" s="82"/>
      <c r="D78" s="76"/>
      <c r="E78" s="80"/>
    </row>
    <row r="79" spans="1:5">
      <c r="B79" s="82"/>
      <c r="C79" s="82"/>
      <c r="D79" s="76"/>
      <c r="E79" s="80"/>
    </row>
    <row r="80" spans="1:5">
      <c r="A80" s="92"/>
      <c r="B80" s="82"/>
      <c r="C80" s="82"/>
      <c r="D80" s="76"/>
      <c r="E80" s="80"/>
    </row>
    <row r="81" spans="2:5">
      <c r="B81" s="82"/>
      <c r="C81" s="82"/>
      <c r="D81" s="76"/>
      <c r="E81" s="80"/>
    </row>
    <row r="82" spans="2:5">
      <c r="B82" s="82"/>
      <c r="C82" s="82"/>
      <c r="D82" s="76"/>
      <c r="E82" s="80"/>
    </row>
    <row r="83" spans="2:5">
      <c r="B83" s="82"/>
      <c r="C83" s="82"/>
      <c r="D83" s="76"/>
      <c r="E83" s="80"/>
    </row>
    <row r="84" spans="2:5">
      <c r="B84" s="82"/>
      <c r="C84" s="82"/>
      <c r="D84" s="76"/>
      <c r="E84" s="80"/>
    </row>
    <row r="85" spans="2:5">
      <c r="B85" s="82"/>
      <c r="C85" s="82"/>
      <c r="D85" s="76"/>
      <c r="E85" s="80"/>
    </row>
    <row r="86" spans="2:5">
      <c r="B86" s="82"/>
      <c r="C86" s="82"/>
      <c r="D86" s="76"/>
      <c r="E86" s="80"/>
    </row>
    <row r="87" spans="2:5">
      <c r="B87" s="82"/>
      <c r="C87" s="82"/>
      <c r="D87" s="76"/>
      <c r="E87" s="80"/>
    </row>
    <row r="88" spans="2:5">
      <c r="B88" s="82"/>
      <c r="C88" s="82"/>
      <c r="D88" s="76"/>
      <c r="E88" s="80"/>
    </row>
    <row r="89" spans="2:5">
      <c r="B89" s="82"/>
      <c r="C89" s="82"/>
      <c r="D89" s="76"/>
      <c r="E89" s="80"/>
    </row>
    <row r="90" spans="2:5">
      <c r="B90" s="82"/>
      <c r="C90" s="82"/>
      <c r="D90" s="76"/>
      <c r="E90" s="80"/>
    </row>
    <row r="91" spans="2:5">
      <c r="B91" s="82"/>
      <c r="C91" s="82"/>
      <c r="D91" s="76"/>
      <c r="E91" s="80"/>
    </row>
    <row r="92" spans="2:5">
      <c r="B92" s="82"/>
      <c r="C92" s="82"/>
      <c r="D92" s="76"/>
      <c r="E92" s="80"/>
    </row>
  </sheetData>
  <mergeCells count="40">
    <mergeCell ref="D8:D9"/>
    <mergeCell ref="E8:E9"/>
    <mergeCell ref="B9:C9"/>
    <mergeCell ref="D11:D12"/>
    <mergeCell ref="E11:E12"/>
    <mergeCell ref="B12:C12"/>
    <mergeCell ref="E18:E19"/>
    <mergeCell ref="B19:C19"/>
    <mergeCell ref="D21:D22"/>
    <mergeCell ref="E21:E22"/>
    <mergeCell ref="B22:C22"/>
    <mergeCell ref="D18:D19"/>
    <mergeCell ref="D28:D29"/>
    <mergeCell ref="E28:E29"/>
    <mergeCell ref="B29:C29"/>
    <mergeCell ref="D31:D32"/>
    <mergeCell ref="E31:E32"/>
    <mergeCell ref="B32:C32"/>
    <mergeCell ref="D38:D39"/>
    <mergeCell ref="E38:E39"/>
    <mergeCell ref="B39:C39"/>
    <mergeCell ref="D41:D42"/>
    <mergeCell ref="E41:E42"/>
    <mergeCell ref="B42:C42"/>
    <mergeCell ref="D48:D49"/>
    <mergeCell ref="E48:E49"/>
    <mergeCell ref="B49:C49"/>
    <mergeCell ref="D51:D52"/>
    <mergeCell ref="E51:E52"/>
    <mergeCell ref="B52:C52"/>
    <mergeCell ref="D71:D72"/>
    <mergeCell ref="E71:E72"/>
    <mergeCell ref="B72:C72"/>
    <mergeCell ref="D58:D59"/>
    <mergeCell ref="E58:E59"/>
    <mergeCell ref="D61:D62"/>
    <mergeCell ref="E61:E62"/>
    <mergeCell ref="D68:D69"/>
    <mergeCell ref="E68:E69"/>
    <mergeCell ref="B69:C69"/>
  </mergeCells>
  <phoneticPr fontId="5" type="noConversion"/>
  <pageMargins left="0.59055118110236227" right="0.39370078740157483" top="0.98425196850393704" bottom="0.98425196850393704" header="0.51181102362204722" footer="0.51181102362204722"/>
  <pageSetup paperSize="9" orientation="portrait" horizontalDpi="300" verticalDpi="300" r:id="rId1"/>
  <headerFooter alignWithMargins="0">
    <oddFooter>&amp;L&amp;A&amp;C&amp;8&amp;P / &amp;N&amp;R&amp;8&amp;D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0"/>
  <dimension ref="A1:H122"/>
  <sheetViews>
    <sheetView workbookViewId="0">
      <selection activeCell="C30" sqref="C30"/>
    </sheetView>
  </sheetViews>
  <sheetFormatPr baseColWidth="10" defaultRowHeight="12.75"/>
  <cols>
    <col min="1" max="1" width="31.140625" customWidth="1"/>
    <col min="2" max="2" width="16" customWidth="1"/>
    <col min="3" max="3" width="12" customWidth="1"/>
    <col min="4" max="4" width="2.140625" bestFit="1" customWidth="1"/>
    <col min="5" max="5" width="7.7109375" customWidth="1"/>
  </cols>
  <sheetData>
    <row r="1" spans="1:8" ht="18">
      <c r="A1" s="94" t="str">
        <f>"Kennzahlen zur Ertragskraft für die " &amp;Aktiva!D3</f>
        <v>Kennzahlen zur Ertragskraft für die Buchhaus GmbH</v>
      </c>
      <c r="B1" s="93"/>
      <c r="C1" s="93"/>
      <c r="D1" s="93"/>
      <c r="E1" s="93"/>
      <c r="F1" s="93"/>
      <c r="G1" s="91"/>
      <c r="H1" s="91"/>
    </row>
    <row r="5" spans="1:8" ht="26.25" thickBot="1">
      <c r="A5" s="81" t="s">
        <v>260</v>
      </c>
      <c r="B5" s="34" t="s">
        <v>200</v>
      </c>
      <c r="C5" s="28" t="s">
        <v>174</v>
      </c>
    </row>
    <row r="6" spans="1:8">
      <c r="B6" t="s">
        <v>201</v>
      </c>
    </row>
    <row r="8" spans="1:8" ht="13.5" thickBot="1">
      <c r="A8" s="79" t="s">
        <v>112</v>
      </c>
      <c r="B8" s="48">
        <f>'Struktur GUV'!D31</f>
        <v>1840.599999999999</v>
      </c>
      <c r="C8" s="28" t="s">
        <v>174</v>
      </c>
      <c r="D8" s="190" t="s">
        <v>170</v>
      </c>
      <c r="E8" s="191">
        <f>B8/B9</f>
        <v>1.4969095640858827</v>
      </c>
    </row>
    <row r="9" spans="1:8">
      <c r="A9" s="79"/>
      <c r="B9" s="192">
        <f>'Struktur GUV'!F31</f>
        <v>1229.5999999999983</v>
      </c>
      <c r="C9" s="192"/>
      <c r="D9" s="190"/>
      <c r="E9" s="191"/>
    </row>
    <row r="10" spans="1:8">
      <c r="A10" s="79"/>
    </row>
    <row r="11" spans="1:8">
      <c r="A11" s="79" t="s">
        <v>113</v>
      </c>
      <c r="B11" s="19" t="s">
        <v>202</v>
      </c>
      <c r="C11" s="85"/>
      <c r="D11" s="197"/>
      <c r="E11" s="198"/>
    </row>
    <row r="12" spans="1:8">
      <c r="B12" s="199"/>
      <c r="C12" s="199"/>
      <c r="D12" s="197"/>
      <c r="E12" s="198"/>
    </row>
    <row r="13" spans="1:8">
      <c r="B13" s="88"/>
      <c r="C13" s="88"/>
      <c r="D13" s="89"/>
      <c r="E13" s="87"/>
    </row>
    <row r="14" spans="1:8">
      <c r="B14" s="82"/>
      <c r="C14" s="82"/>
      <c r="D14" s="76"/>
      <c r="E14" s="80"/>
    </row>
    <row r="15" spans="1:8" ht="26.25" thickBot="1">
      <c r="A15" s="81" t="s">
        <v>261</v>
      </c>
      <c r="B15" s="34" t="s">
        <v>203</v>
      </c>
      <c r="C15" s="28" t="s">
        <v>174</v>
      </c>
    </row>
    <row r="16" spans="1:8">
      <c r="B16" t="s">
        <v>204</v>
      </c>
    </row>
    <row r="18" spans="1:5" ht="13.5" thickBot="1">
      <c r="A18" s="79" t="s">
        <v>112</v>
      </c>
      <c r="B18" s="48">
        <f>'Struktur GUV'!D31-'Struktur GUV'!D30</f>
        <v>3966.099999999999</v>
      </c>
      <c r="C18" s="28" t="s">
        <v>174</v>
      </c>
      <c r="D18" s="190" t="s">
        <v>170</v>
      </c>
      <c r="E18" s="191">
        <f>B18/B19</f>
        <v>1.6509594971485666</v>
      </c>
    </row>
    <row r="19" spans="1:5">
      <c r="A19" s="79"/>
      <c r="B19" s="192">
        <f>'Struktur GUV'!F31-'Struktur GUV'!F30</f>
        <v>2402.2999999999984</v>
      </c>
      <c r="C19" s="192"/>
      <c r="D19" s="190"/>
      <c r="E19" s="191"/>
    </row>
    <row r="20" spans="1:5">
      <c r="A20" s="79"/>
    </row>
    <row r="21" spans="1:5">
      <c r="A21" s="79" t="s">
        <v>113</v>
      </c>
      <c r="B21" s="19" t="s">
        <v>202</v>
      </c>
      <c r="C21" s="85"/>
      <c r="D21" s="197"/>
      <c r="E21" s="198"/>
    </row>
    <row r="22" spans="1:5">
      <c r="B22" s="199"/>
      <c r="C22" s="199"/>
      <c r="D22" s="197"/>
      <c r="E22" s="198"/>
    </row>
    <row r="23" spans="1:5">
      <c r="B23" s="82"/>
      <c r="C23" s="82"/>
      <c r="D23" s="76"/>
      <c r="E23" s="80"/>
    </row>
    <row r="24" spans="1:5">
      <c r="B24" s="82"/>
      <c r="C24" s="82"/>
      <c r="D24" s="76"/>
      <c r="E24" s="80"/>
    </row>
    <row r="25" spans="1:5" ht="13.5" thickBot="1">
      <c r="A25" s="75" t="s">
        <v>262</v>
      </c>
      <c r="B25" s="28" t="s">
        <v>205</v>
      </c>
      <c r="C25" s="28" t="s">
        <v>174</v>
      </c>
    </row>
    <row r="26" spans="1:5">
      <c r="B26" t="s">
        <v>206</v>
      </c>
    </row>
    <row r="28" spans="1:5" ht="13.5" thickBot="1">
      <c r="A28" s="79" t="s">
        <v>112</v>
      </c>
      <c r="B28" s="48">
        <f>'Struktur GUV'!D16</f>
        <v>4019.9999999999991</v>
      </c>
      <c r="C28" s="28" t="s">
        <v>174</v>
      </c>
      <c r="D28" s="190" t="s">
        <v>170</v>
      </c>
      <c r="E28" s="191">
        <f>B28/B29</f>
        <v>2.1840704118222325</v>
      </c>
    </row>
    <row r="29" spans="1:5">
      <c r="A29" s="79"/>
      <c r="B29" s="192">
        <f>'Struktur GUV'!$D$31</f>
        <v>1840.599999999999</v>
      </c>
      <c r="C29" s="192"/>
      <c r="D29" s="190"/>
      <c r="E29" s="191"/>
    </row>
    <row r="30" spans="1:5">
      <c r="A30" s="79"/>
    </row>
    <row r="31" spans="1:5" ht="13.5" thickBot="1">
      <c r="A31" s="79" t="s">
        <v>113</v>
      </c>
      <c r="B31" s="48">
        <f>'Struktur GUV'!F16</f>
        <v>2336.2999999999984</v>
      </c>
      <c r="C31" s="28" t="s">
        <v>174</v>
      </c>
      <c r="D31" s="190" t="s">
        <v>170</v>
      </c>
      <c r="E31" s="191">
        <f>B31/B32</f>
        <v>1.90004879635654</v>
      </c>
    </row>
    <row r="32" spans="1:5">
      <c r="B32" s="192">
        <f>'Struktur GUV'!$F$31</f>
        <v>1229.5999999999983</v>
      </c>
      <c r="C32" s="192"/>
      <c r="D32" s="190"/>
      <c r="E32" s="191"/>
    </row>
    <row r="33" spans="1:5">
      <c r="B33" s="82"/>
      <c r="C33" s="82"/>
      <c r="D33" s="76"/>
      <c r="E33" s="80"/>
    </row>
    <row r="34" spans="1:5">
      <c r="B34" s="82"/>
      <c r="C34" s="82"/>
      <c r="D34" s="76"/>
      <c r="E34" s="80"/>
    </row>
    <row r="35" spans="1:5" ht="13.5" thickBot="1">
      <c r="A35" s="75" t="s">
        <v>263</v>
      </c>
      <c r="B35" s="34" t="s">
        <v>207</v>
      </c>
      <c r="C35" s="28" t="s">
        <v>174</v>
      </c>
    </row>
    <row r="36" spans="1:5">
      <c r="B36" t="s">
        <v>206</v>
      </c>
    </row>
    <row r="38" spans="1:5" ht="13.5" thickBot="1">
      <c r="A38" s="79" t="s">
        <v>112</v>
      </c>
      <c r="B38" s="48">
        <f>'Struktur GUV'!D22</f>
        <v>-132.89999999999998</v>
      </c>
      <c r="C38" s="28" t="s">
        <v>174</v>
      </c>
      <c r="D38" s="190" t="s">
        <v>170</v>
      </c>
      <c r="E38" s="191">
        <f>B38/B39</f>
        <v>-7.2204715853526044E-2</v>
      </c>
    </row>
    <row r="39" spans="1:5">
      <c r="A39" s="79"/>
      <c r="B39" s="192">
        <f>'Struktur GUV'!$D$31</f>
        <v>1840.599999999999</v>
      </c>
      <c r="C39" s="192"/>
      <c r="D39" s="190"/>
      <c r="E39" s="191"/>
    </row>
    <row r="40" spans="1:5">
      <c r="A40" s="79"/>
    </row>
    <row r="41" spans="1:5" ht="13.5" thickBot="1">
      <c r="A41" s="79" t="s">
        <v>113</v>
      </c>
      <c r="B41" s="48">
        <f>'Struktur GUV'!F22</f>
        <v>-33.999999999999972</v>
      </c>
      <c r="C41" s="28" t="s">
        <v>174</v>
      </c>
      <c r="D41" s="190" t="s">
        <v>170</v>
      </c>
      <c r="E41" s="191">
        <f>B41/B42</f>
        <v>-2.7651268705270023E-2</v>
      </c>
    </row>
    <row r="42" spans="1:5">
      <c r="B42" s="192">
        <f>'Struktur GUV'!$F$31</f>
        <v>1229.5999999999983</v>
      </c>
      <c r="C42" s="192"/>
      <c r="D42" s="190"/>
      <c r="E42" s="191"/>
    </row>
    <row r="43" spans="1:5">
      <c r="B43" s="82"/>
      <c r="C43" s="82"/>
      <c r="D43" s="76"/>
      <c r="E43" s="80"/>
    </row>
    <row r="44" spans="1:5">
      <c r="B44" s="82"/>
      <c r="C44" s="82"/>
      <c r="D44" s="76"/>
      <c r="E44" s="80"/>
    </row>
    <row r="45" spans="1:5" ht="26.25" thickBot="1">
      <c r="A45" s="81" t="s">
        <v>264</v>
      </c>
      <c r="B45" s="34" t="s">
        <v>104</v>
      </c>
      <c r="C45" s="28" t="s">
        <v>174</v>
      </c>
    </row>
    <row r="46" spans="1:5">
      <c r="B46" t="s">
        <v>206</v>
      </c>
    </row>
    <row r="48" spans="1:5" ht="13.5" thickBot="1">
      <c r="A48" s="79" t="s">
        <v>112</v>
      </c>
      <c r="B48" s="48">
        <f>'Struktur GUV'!D27</f>
        <v>79</v>
      </c>
      <c r="C48" s="28" t="s">
        <v>174</v>
      </c>
      <c r="D48" s="190" t="s">
        <v>170</v>
      </c>
      <c r="E48" s="191">
        <f>B48/B49</f>
        <v>4.2920786699989159E-2</v>
      </c>
    </row>
    <row r="49" spans="1:5">
      <c r="A49" s="79"/>
      <c r="B49" s="192">
        <f>'Struktur GUV'!$D$31</f>
        <v>1840.599999999999</v>
      </c>
      <c r="C49" s="192"/>
      <c r="D49" s="190"/>
      <c r="E49" s="191"/>
    </row>
    <row r="50" spans="1:5">
      <c r="A50" s="79"/>
    </row>
    <row r="51" spans="1:5" ht="13.5" thickBot="1">
      <c r="A51" s="79" t="s">
        <v>113</v>
      </c>
      <c r="B51" s="48">
        <f>'Struktur GUV'!F27</f>
        <v>100</v>
      </c>
      <c r="C51" s="28" t="s">
        <v>174</v>
      </c>
      <c r="D51" s="190" t="s">
        <v>170</v>
      </c>
      <c r="E51" s="191">
        <f>B51/B52</f>
        <v>8.1327260897853068E-2</v>
      </c>
    </row>
    <row r="52" spans="1:5">
      <c r="B52" s="192">
        <f>'Struktur GUV'!$F$31</f>
        <v>1229.5999999999983</v>
      </c>
      <c r="C52" s="192"/>
      <c r="D52" s="190"/>
      <c r="E52" s="191"/>
    </row>
    <row r="53" spans="1:5">
      <c r="B53" s="82"/>
      <c r="C53" s="82"/>
      <c r="D53" s="76"/>
      <c r="E53" s="80"/>
    </row>
    <row r="54" spans="1:5">
      <c r="B54" s="82"/>
      <c r="C54" s="82"/>
      <c r="D54" s="76"/>
      <c r="E54" s="80"/>
    </row>
    <row r="55" spans="1:5" ht="13.5" thickBot="1">
      <c r="A55" s="75" t="s">
        <v>292</v>
      </c>
      <c r="B55" s="48" t="s">
        <v>81</v>
      </c>
      <c r="C55" s="28" t="s">
        <v>174</v>
      </c>
    </row>
    <row r="56" spans="1:5">
      <c r="B56" t="s">
        <v>208</v>
      </c>
    </row>
    <row r="58" spans="1:5" ht="13.5" thickBot="1">
      <c r="A58" s="79" t="s">
        <v>112</v>
      </c>
      <c r="B58" s="48">
        <f>'Struktur GUV'!C11*-1</f>
        <v>7261.2999999999993</v>
      </c>
      <c r="C58" s="28" t="s">
        <v>174</v>
      </c>
      <c r="D58" s="190" t="s">
        <v>170</v>
      </c>
      <c r="E58" s="191">
        <f>B58/B59</f>
        <v>0.33409864728075822</v>
      </c>
    </row>
    <row r="59" spans="1:5">
      <c r="A59" s="79"/>
      <c r="B59" s="192">
        <f>'Struktur GUV'!$D$8</f>
        <v>21734</v>
      </c>
      <c r="C59" s="192"/>
      <c r="D59" s="190"/>
      <c r="E59" s="191"/>
    </row>
    <row r="60" spans="1:5">
      <c r="A60" s="79"/>
    </row>
    <row r="61" spans="1:5" ht="13.5" thickBot="1">
      <c r="A61" s="79" t="s">
        <v>113</v>
      </c>
      <c r="B61" s="48">
        <f>'Struktur GUV'!E11*-1</f>
        <v>6483</v>
      </c>
      <c r="C61" s="28" t="s">
        <v>174</v>
      </c>
      <c r="D61" s="190" t="s">
        <v>170</v>
      </c>
      <c r="E61" s="191">
        <f>B61/B62</f>
        <v>0.34598512098538786</v>
      </c>
    </row>
    <row r="62" spans="1:5">
      <c r="B62" s="192">
        <f>'Struktur GUV'!$F$8</f>
        <v>18737.8</v>
      </c>
      <c r="C62" s="192"/>
      <c r="D62" s="190"/>
      <c r="E62" s="191"/>
    </row>
    <row r="63" spans="1:5">
      <c r="B63" s="82"/>
      <c r="C63" s="82"/>
      <c r="D63" s="76"/>
      <c r="E63" s="80"/>
    </row>
    <row r="64" spans="1:5">
      <c r="B64" s="82"/>
      <c r="C64" s="82"/>
      <c r="D64" s="76"/>
      <c r="E64" s="80"/>
    </row>
    <row r="65" spans="1:5" ht="13.5" thickBot="1">
      <c r="A65" s="75" t="s">
        <v>265</v>
      </c>
      <c r="B65" s="28" t="s">
        <v>84</v>
      </c>
      <c r="C65" s="28" t="s">
        <v>174</v>
      </c>
    </row>
    <row r="66" spans="1:5">
      <c r="B66" t="s">
        <v>208</v>
      </c>
    </row>
    <row r="68" spans="1:5" ht="13.5" thickBot="1">
      <c r="A68" s="79" t="s">
        <v>112</v>
      </c>
      <c r="B68" s="48">
        <f>'Struktur GUV'!C13*-1</f>
        <v>7840</v>
      </c>
      <c r="C68" s="28" t="s">
        <v>174</v>
      </c>
      <c r="D68" s="190" t="s">
        <v>170</v>
      </c>
      <c r="E68" s="191">
        <f>B68/B69</f>
        <v>0.3607251311309469</v>
      </c>
    </row>
    <row r="69" spans="1:5">
      <c r="A69" s="79"/>
      <c r="B69" s="192">
        <f>'Struktur GUV'!$D$8</f>
        <v>21734</v>
      </c>
      <c r="C69" s="192"/>
      <c r="D69" s="190"/>
      <c r="E69" s="191"/>
    </row>
    <row r="70" spans="1:5">
      <c r="A70" s="79"/>
    </row>
    <row r="71" spans="1:5" ht="13.5" thickBot="1">
      <c r="A71" s="79" t="s">
        <v>113</v>
      </c>
      <c r="B71" s="48">
        <f>'Struktur GUV'!E13*-1</f>
        <v>6468</v>
      </c>
      <c r="C71" s="28" t="s">
        <v>174</v>
      </c>
      <c r="D71" s="190" t="s">
        <v>170</v>
      </c>
      <c r="E71" s="191">
        <f>B71/B72</f>
        <v>0.34518460011314028</v>
      </c>
    </row>
    <row r="72" spans="1:5">
      <c r="B72" s="192">
        <f>'Struktur GUV'!$F$8</f>
        <v>18737.8</v>
      </c>
      <c r="C72" s="192"/>
      <c r="D72" s="190"/>
      <c r="E72" s="191"/>
    </row>
    <row r="73" spans="1:5">
      <c r="B73" s="82"/>
      <c r="C73" s="82"/>
      <c r="D73" s="76"/>
      <c r="E73" s="80"/>
    </row>
    <row r="74" spans="1:5">
      <c r="B74" s="82"/>
      <c r="C74" s="82"/>
      <c r="D74" s="76"/>
      <c r="E74" s="80"/>
    </row>
    <row r="75" spans="1:5" ht="13.5" thickBot="1">
      <c r="A75" s="75" t="s">
        <v>266</v>
      </c>
      <c r="B75" s="28" t="s">
        <v>209</v>
      </c>
      <c r="C75" s="28" t="s">
        <v>174</v>
      </c>
    </row>
    <row r="76" spans="1:5">
      <c r="B76" t="s">
        <v>208</v>
      </c>
    </row>
    <row r="78" spans="1:5" ht="13.5" thickBot="1">
      <c r="A78" s="79" t="s">
        <v>112</v>
      </c>
      <c r="B78" s="48">
        <f>'Struktur GUV'!C14*-1</f>
        <v>2300</v>
      </c>
      <c r="C78" s="28" t="s">
        <v>174</v>
      </c>
      <c r="D78" s="190" t="s">
        <v>170</v>
      </c>
      <c r="E78" s="191">
        <f>B78/B79</f>
        <v>0.1058249746940278</v>
      </c>
    </row>
    <row r="79" spans="1:5">
      <c r="A79" s="79"/>
      <c r="B79" s="192">
        <f>'Struktur GUV'!$D$8</f>
        <v>21734</v>
      </c>
      <c r="C79" s="192"/>
      <c r="D79" s="190"/>
      <c r="E79" s="191"/>
    </row>
    <row r="80" spans="1:5">
      <c r="A80" s="79"/>
    </row>
    <row r="81" spans="1:5" ht="13.5" thickBot="1">
      <c r="A81" s="79" t="s">
        <v>113</v>
      </c>
      <c r="B81" s="48">
        <f>'Struktur GUV'!E14*-1</f>
        <v>2173</v>
      </c>
      <c r="C81" s="28" t="s">
        <v>174</v>
      </c>
      <c r="D81" s="190" t="s">
        <v>170</v>
      </c>
      <c r="E81" s="191">
        <f>B81/B82</f>
        <v>0.11596879035959398</v>
      </c>
    </row>
    <row r="82" spans="1:5">
      <c r="B82" s="192">
        <f>'Struktur GUV'!$F$8</f>
        <v>18737.8</v>
      </c>
      <c r="C82" s="192"/>
      <c r="D82" s="190"/>
      <c r="E82" s="191"/>
    </row>
    <row r="83" spans="1:5">
      <c r="B83" s="82"/>
      <c r="C83" s="82"/>
      <c r="D83" s="76"/>
      <c r="E83" s="80"/>
    </row>
    <row r="84" spans="1:5">
      <c r="B84" s="82"/>
      <c r="C84" s="82"/>
      <c r="D84" s="76"/>
      <c r="E84" s="80"/>
    </row>
    <row r="85" spans="1:5" ht="26.25" thickBot="1">
      <c r="A85" s="81" t="s">
        <v>267</v>
      </c>
      <c r="B85" s="34" t="s">
        <v>210</v>
      </c>
      <c r="C85" s="28" t="s">
        <v>174</v>
      </c>
    </row>
    <row r="86" spans="1:5">
      <c r="B86" t="s">
        <v>208</v>
      </c>
    </row>
    <row r="88" spans="1:5" ht="13.5" thickBot="1">
      <c r="A88" s="79" t="s">
        <v>112</v>
      </c>
      <c r="B88" s="48">
        <f>'Struktur GUV'!C15*-1</f>
        <v>595.29999999999995</v>
      </c>
      <c r="C88" s="28" t="s">
        <v>174</v>
      </c>
      <c r="D88" s="190" t="s">
        <v>170</v>
      </c>
      <c r="E88" s="191">
        <f>B88/B89</f>
        <v>2.7390264102328147E-2</v>
      </c>
    </row>
    <row r="89" spans="1:5">
      <c r="A89" s="79"/>
      <c r="B89" s="192">
        <f>'Struktur GUV'!$D$8</f>
        <v>21734</v>
      </c>
      <c r="C89" s="192"/>
      <c r="D89" s="190"/>
      <c r="E89" s="191"/>
    </row>
    <row r="90" spans="1:5">
      <c r="A90" s="79"/>
    </row>
    <row r="91" spans="1:5" ht="13.5" thickBot="1">
      <c r="A91" s="79" t="s">
        <v>113</v>
      </c>
      <c r="B91" s="48">
        <f>'Struktur GUV'!E15*-1</f>
        <v>1444.3</v>
      </c>
      <c r="C91" s="28" t="s">
        <v>174</v>
      </c>
      <c r="D91" s="190" t="s">
        <v>170</v>
      </c>
      <c r="E91" s="191">
        <f>B91/B92</f>
        <v>7.707948638580836E-2</v>
      </c>
    </row>
    <row r="92" spans="1:5">
      <c r="B92" s="192">
        <f>'Struktur GUV'!$F$8</f>
        <v>18737.8</v>
      </c>
      <c r="C92" s="192"/>
      <c r="D92" s="190"/>
      <c r="E92" s="191"/>
    </row>
    <row r="95" spans="1:5" ht="26.25" thickBot="1">
      <c r="A95" s="81" t="s">
        <v>268</v>
      </c>
      <c r="B95" s="34" t="s">
        <v>211</v>
      </c>
      <c r="C95" s="28" t="s">
        <v>174</v>
      </c>
    </row>
    <row r="96" spans="1:5" ht="25.5">
      <c r="B96" s="1" t="s">
        <v>212</v>
      </c>
    </row>
    <row r="98" spans="1:5" ht="13.5" thickBot="1">
      <c r="A98" s="79" t="s">
        <v>112</v>
      </c>
      <c r="B98" s="48">
        <f>'Struktur GUV'!D31-'Struktur GUV'!D30</f>
        <v>3966.099999999999</v>
      </c>
      <c r="C98" s="28" t="s">
        <v>174</v>
      </c>
      <c r="D98" s="190" t="s">
        <v>170</v>
      </c>
      <c r="E98" s="191">
        <f>B98/B99</f>
        <v>0.41107788620498437</v>
      </c>
    </row>
    <row r="99" spans="1:5">
      <c r="A99" s="79"/>
      <c r="B99" s="192">
        <f>(Strukturbilanz!F44+Strukturbilanz!I44)/2</f>
        <v>9648.0499999999993</v>
      </c>
      <c r="C99" s="192"/>
      <c r="D99" s="190"/>
      <c r="E99" s="191"/>
    </row>
    <row r="100" spans="1:5">
      <c r="A100" s="79"/>
    </row>
    <row r="101" spans="1:5" ht="13.5" thickBot="1">
      <c r="A101" s="79" t="s">
        <v>113</v>
      </c>
      <c r="B101" s="48">
        <f>'Struktur GUV'!F31-'Struktur GUV'!F30</f>
        <v>2402.2999999999984</v>
      </c>
      <c r="C101" s="28" t="s">
        <v>174</v>
      </c>
      <c r="D101" s="190" t="s">
        <v>170</v>
      </c>
      <c r="E101" s="191">
        <f>B101/B102</f>
        <v>0.27272056444517589</v>
      </c>
    </row>
    <row r="102" spans="1:5">
      <c r="B102" s="192">
        <f>(Strukturbilanz!I44+Strukturbilanz!F68)/2</f>
        <v>8808.65</v>
      </c>
      <c r="C102" s="192"/>
      <c r="D102" s="190"/>
      <c r="E102" s="191"/>
    </row>
    <row r="105" spans="1:5" ht="28.5" customHeight="1" thickBot="1">
      <c r="A105" s="81" t="s">
        <v>269</v>
      </c>
      <c r="B105" s="34" t="s">
        <v>213</v>
      </c>
      <c r="C105" s="28" t="s">
        <v>174</v>
      </c>
    </row>
    <row r="106" spans="1:5" ht="25.5" customHeight="1">
      <c r="B106" s="196" t="s">
        <v>214</v>
      </c>
      <c r="C106" s="196"/>
    </row>
    <row r="108" spans="1:5" ht="13.5" thickBot="1">
      <c r="A108" s="79" t="s">
        <v>112</v>
      </c>
      <c r="B108" s="48">
        <f>'Struktur GUV'!D31-'Struktur GUV'!D30-'Struktur GUV'!C21</f>
        <v>4223.4999999999991</v>
      </c>
      <c r="C108" s="28" t="s">
        <v>174</v>
      </c>
      <c r="D108" s="190" t="s">
        <v>170</v>
      </c>
      <c r="E108" s="191">
        <f>B108/B109</f>
        <v>0.24641262080694512</v>
      </c>
    </row>
    <row r="109" spans="1:5">
      <c r="A109" s="79"/>
      <c r="B109" s="192">
        <f>(Strukturbilanz!F64+Strukturbilanz!I64)/2</f>
        <v>17139.95</v>
      </c>
      <c r="C109" s="192"/>
      <c r="D109" s="190"/>
      <c r="E109" s="191"/>
    </row>
    <row r="110" spans="1:5">
      <c r="A110" s="79"/>
    </row>
    <row r="111" spans="1:5" ht="13.5" thickBot="1">
      <c r="A111" s="79" t="s">
        <v>113</v>
      </c>
      <c r="B111" s="48">
        <f>'Struktur GUV'!F31-'Struktur GUV'!F30-'Struktur GUV'!E21</f>
        <v>2595.4999999999982</v>
      </c>
      <c r="C111" s="28" t="s">
        <v>174</v>
      </c>
      <c r="D111" s="190" t="s">
        <v>170</v>
      </c>
      <c r="E111" s="191">
        <f>B111/B112</f>
        <v>0.17116929966003544</v>
      </c>
    </row>
    <row r="112" spans="1:5">
      <c r="B112" s="192">
        <f>(Strukturbilanz!I64+Strukturbilanz!F67)/2</f>
        <v>15163.349999999999</v>
      </c>
      <c r="C112" s="192"/>
      <c r="D112" s="190"/>
      <c r="E112" s="191"/>
    </row>
    <row r="115" spans="1:5" ht="26.25" thickBot="1">
      <c r="A115" s="81" t="s">
        <v>270</v>
      </c>
      <c r="B115" s="34" t="s">
        <v>205</v>
      </c>
      <c r="C115" s="28" t="s">
        <v>174</v>
      </c>
    </row>
    <row r="116" spans="1:5">
      <c r="B116" s="196" t="s">
        <v>180</v>
      </c>
      <c r="C116" s="196"/>
    </row>
    <row r="118" spans="1:5" ht="13.5" thickBot="1">
      <c r="A118" s="79" t="s">
        <v>112</v>
      </c>
      <c r="B118" s="48">
        <f>'Struktur GUV'!D16</f>
        <v>4019.9999999999991</v>
      </c>
      <c r="C118" s="28" t="s">
        <v>174</v>
      </c>
      <c r="D118" s="190" t="s">
        <v>170</v>
      </c>
      <c r="E118" s="191">
        <f>B118/B119</f>
        <v>0.18682033646249646</v>
      </c>
    </row>
    <row r="119" spans="1:5">
      <c r="A119" s="79"/>
      <c r="B119" s="192">
        <f>'Struktur GUV'!C6</f>
        <v>21518</v>
      </c>
      <c r="C119" s="192"/>
      <c r="D119" s="190"/>
      <c r="E119" s="191"/>
    </row>
    <row r="120" spans="1:5">
      <c r="A120" s="79"/>
    </row>
    <row r="121" spans="1:5" ht="13.5" thickBot="1">
      <c r="A121" s="79" t="s">
        <v>113</v>
      </c>
      <c r="B121" s="48">
        <f>'Struktur GUV'!F16</f>
        <v>2336.2999999999984</v>
      </c>
      <c r="C121" s="28" t="s">
        <v>174</v>
      </c>
      <c r="D121" s="190" t="s">
        <v>170</v>
      </c>
      <c r="E121" s="191">
        <f>B121/B122</f>
        <v>0.12589519062373694</v>
      </c>
    </row>
    <row r="122" spans="1:5">
      <c r="B122" s="192">
        <f>'Struktur GUV'!E6</f>
        <v>18557.5</v>
      </c>
      <c r="C122" s="192"/>
      <c r="D122" s="190"/>
      <c r="E122" s="191"/>
    </row>
  </sheetData>
  <mergeCells count="74">
    <mergeCell ref="D8:D9"/>
    <mergeCell ref="E8:E9"/>
    <mergeCell ref="B9:C9"/>
    <mergeCell ref="D11:D12"/>
    <mergeCell ref="E11:E12"/>
    <mergeCell ref="B12:C12"/>
    <mergeCell ref="D18:D19"/>
    <mergeCell ref="E18:E19"/>
    <mergeCell ref="B19:C19"/>
    <mergeCell ref="D21:D22"/>
    <mergeCell ref="E21:E22"/>
    <mergeCell ref="B22:C22"/>
    <mergeCell ref="D28:D29"/>
    <mergeCell ref="E28:E29"/>
    <mergeCell ref="B29:C29"/>
    <mergeCell ref="D31:D32"/>
    <mergeCell ref="E31:E32"/>
    <mergeCell ref="B32:C32"/>
    <mergeCell ref="D38:D39"/>
    <mergeCell ref="E38:E39"/>
    <mergeCell ref="B39:C39"/>
    <mergeCell ref="D41:D42"/>
    <mergeCell ref="E41:E42"/>
    <mergeCell ref="B42:C42"/>
    <mergeCell ref="B59:C59"/>
    <mergeCell ref="B62:C62"/>
    <mergeCell ref="D48:D49"/>
    <mergeCell ref="E48:E49"/>
    <mergeCell ref="B49:C49"/>
    <mergeCell ref="D51:D52"/>
    <mergeCell ref="E51:E52"/>
    <mergeCell ref="B52:C52"/>
    <mergeCell ref="D58:D59"/>
    <mergeCell ref="E58:E59"/>
    <mergeCell ref="D61:D62"/>
    <mergeCell ref="E61:E62"/>
    <mergeCell ref="D78:D79"/>
    <mergeCell ref="E78:E79"/>
    <mergeCell ref="B79:C79"/>
    <mergeCell ref="D68:D69"/>
    <mergeCell ref="E68:E69"/>
    <mergeCell ref="B69:C69"/>
    <mergeCell ref="D71:D72"/>
    <mergeCell ref="E71:E72"/>
    <mergeCell ref="B72:C72"/>
    <mergeCell ref="D81:D82"/>
    <mergeCell ref="E81:E82"/>
    <mergeCell ref="B82:C82"/>
    <mergeCell ref="D88:D89"/>
    <mergeCell ref="E88:E89"/>
    <mergeCell ref="B89:C89"/>
    <mergeCell ref="D91:D92"/>
    <mergeCell ref="E91:E92"/>
    <mergeCell ref="B92:C92"/>
    <mergeCell ref="D98:D99"/>
    <mergeCell ref="E98:E99"/>
    <mergeCell ref="B99:C99"/>
    <mergeCell ref="D101:D102"/>
    <mergeCell ref="E101:E102"/>
    <mergeCell ref="B102:C102"/>
    <mergeCell ref="D108:D109"/>
    <mergeCell ref="E108:E109"/>
    <mergeCell ref="B109:C109"/>
    <mergeCell ref="B112:C112"/>
    <mergeCell ref="B106:C106"/>
    <mergeCell ref="D121:D122"/>
    <mergeCell ref="E121:E122"/>
    <mergeCell ref="B122:C122"/>
    <mergeCell ref="B116:C116"/>
    <mergeCell ref="D118:D119"/>
    <mergeCell ref="E118:E119"/>
    <mergeCell ref="B119:C119"/>
    <mergeCell ref="D111:D112"/>
    <mergeCell ref="E111:E112"/>
  </mergeCells>
  <phoneticPr fontId="5" type="noConversion"/>
  <pageMargins left="0.59055118110236227" right="0.39370078740157483" top="0.98425196850393704" bottom="0.98425196850393704" header="0.51181102362204722" footer="0.51181102362204722"/>
  <pageSetup paperSize="9" orientation="portrait" horizontalDpi="300" verticalDpi="300" r:id="rId1"/>
  <headerFooter alignWithMargins="0">
    <oddFooter>&amp;L&amp;A&amp;C&amp;8&amp;P / &amp;N&amp;R&amp;8&amp;D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2"/>
  <dimension ref="A1"/>
  <sheetViews>
    <sheetView workbookViewId="0">
      <selection activeCell="J24" sqref="J24"/>
    </sheetView>
  </sheetViews>
  <sheetFormatPr baseColWidth="10" defaultRowHeight="12.75"/>
  <sheetData/>
  <phoneticPr fontId="5" type="noConversion"/>
  <pageMargins left="0.78740157499999996" right="0.78740157499999996" top="0.984251969" bottom="0.984251969" header="0.4921259845" footer="0.492125984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H46"/>
  <sheetViews>
    <sheetView zoomScale="80" zoomScaleNormal="80" workbookViewId="0">
      <selection sqref="A1:H1"/>
    </sheetView>
  </sheetViews>
  <sheetFormatPr baseColWidth="10" defaultRowHeight="12.75"/>
  <cols>
    <col min="1" max="1" width="3" style="3" customWidth="1"/>
    <col min="2" max="2" width="2.85546875" style="2" customWidth="1"/>
    <col min="3" max="3" width="2.7109375" style="2" customWidth="1"/>
    <col min="4" max="4" width="39.28515625" style="1" bestFit="1" customWidth="1"/>
  </cols>
  <sheetData>
    <row r="1" spans="1:8" ht="18">
      <c r="A1" s="183" t="str">
        <f>"Bilanz der Firma " &amp; Aktiva!D3</f>
        <v>Bilanz der Firma Buchhaus GmbH</v>
      </c>
      <c r="B1" s="183"/>
      <c r="C1" s="183"/>
      <c r="D1" s="183"/>
      <c r="E1" s="183"/>
      <c r="F1" s="183"/>
      <c r="G1" s="183"/>
      <c r="H1" s="183"/>
    </row>
    <row r="4" spans="1:8">
      <c r="E4" s="178" t="str">
        <f>"Berichtsjahr "&amp;Aktiva!$D$4</f>
        <v>Berichtsjahr 2019</v>
      </c>
      <c r="F4" s="178"/>
      <c r="G4" s="179" t="str">
        <f>"Vorjahr "&amp;Aktiva!$D$4-1</f>
        <v>Vorjahr 2018</v>
      </c>
      <c r="H4" s="180"/>
    </row>
    <row r="5" spans="1:8" ht="13.5" thickBot="1">
      <c r="A5" s="4" t="s">
        <v>77</v>
      </c>
      <c r="E5" s="16" t="s">
        <v>110</v>
      </c>
      <c r="F5" s="16" t="s">
        <v>110</v>
      </c>
      <c r="G5" s="17" t="s">
        <v>110</v>
      </c>
      <c r="H5" s="16" t="s">
        <v>110</v>
      </c>
    </row>
    <row r="6" spans="1:8">
      <c r="G6" s="20"/>
    </row>
    <row r="7" spans="1:8">
      <c r="A7" s="3" t="s">
        <v>0</v>
      </c>
      <c r="B7" s="5" t="s">
        <v>47</v>
      </c>
      <c r="G7" s="12"/>
    </row>
    <row r="8" spans="1:8">
      <c r="B8" s="5" t="s">
        <v>4</v>
      </c>
      <c r="C8" s="2" t="s">
        <v>48</v>
      </c>
      <c r="E8" s="141">
        <v>8000</v>
      </c>
      <c r="F8" s="103"/>
      <c r="G8" s="143">
        <v>4000</v>
      </c>
      <c r="H8" s="103"/>
    </row>
    <row r="9" spans="1:8">
      <c r="B9" s="5"/>
      <c r="E9" s="1"/>
      <c r="F9" s="103"/>
      <c r="G9" s="21"/>
      <c r="H9" s="103"/>
    </row>
    <row r="10" spans="1:8">
      <c r="B10" s="5" t="s">
        <v>10</v>
      </c>
      <c r="C10" s="2" t="s">
        <v>49</v>
      </c>
      <c r="E10" s="141">
        <v>0</v>
      </c>
      <c r="F10" s="103"/>
      <c r="G10" s="143">
        <v>1600</v>
      </c>
      <c r="H10" s="103"/>
    </row>
    <row r="11" spans="1:8">
      <c r="B11" s="5"/>
      <c r="F11" s="103"/>
      <c r="G11" s="12"/>
      <c r="H11" s="103"/>
    </row>
    <row r="12" spans="1:8">
      <c r="B12" s="5" t="s">
        <v>16</v>
      </c>
      <c r="C12" s="2" t="s">
        <v>50</v>
      </c>
      <c r="F12" s="103"/>
      <c r="G12" s="12"/>
      <c r="H12" s="103"/>
    </row>
    <row r="13" spans="1:8">
      <c r="B13" s="5"/>
      <c r="C13" s="5" t="s">
        <v>6</v>
      </c>
      <c r="D13" s="1" t="s">
        <v>51</v>
      </c>
      <c r="E13" s="141">
        <v>0</v>
      </c>
      <c r="F13" s="103"/>
      <c r="G13" s="143">
        <v>0</v>
      </c>
      <c r="H13" s="103"/>
    </row>
    <row r="14" spans="1:8">
      <c r="B14" s="5"/>
      <c r="C14" s="5" t="s">
        <v>8</v>
      </c>
      <c r="D14" s="1" t="s">
        <v>52</v>
      </c>
      <c r="E14" s="141">
        <v>0</v>
      </c>
      <c r="F14" s="103"/>
      <c r="G14" s="143">
        <v>0</v>
      </c>
      <c r="H14" s="103"/>
    </row>
    <row r="15" spans="1:8">
      <c r="B15" s="5"/>
      <c r="C15" s="5" t="s">
        <v>12</v>
      </c>
      <c r="D15" s="1" t="s">
        <v>53</v>
      </c>
      <c r="E15" s="141">
        <v>560.20000000000005</v>
      </c>
      <c r="F15" s="103"/>
      <c r="G15" s="143">
        <v>1700.5</v>
      </c>
      <c r="H15" s="103"/>
    </row>
    <row r="16" spans="1:8">
      <c r="B16" s="5"/>
      <c r="C16" s="5" t="s">
        <v>23</v>
      </c>
      <c r="D16" s="1" t="s">
        <v>54</v>
      </c>
      <c r="E16" s="141">
        <v>0</v>
      </c>
      <c r="F16" s="103"/>
      <c r="G16" s="143">
        <v>0</v>
      </c>
      <c r="H16" s="103"/>
    </row>
    <row r="17" spans="1:8">
      <c r="B17" s="5"/>
      <c r="C17" s="5"/>
      <c r="F17" s="103"/>
      <c r="G17" s="12"/>
      <c r="H17" s="103"/>
    </row>
    <row r="18" spans="1:8">
      <c r="B18" s="5" t="s">
        <v>34</v>
      </c>
      <c r="C18" s="2" t="s">
        <v>55</v>
      </c>
      <c r="E18" s="141">
        <v>0</v>
      </c>
      <c r="F18" s="103"/>
      <c r="G18" s="143">
        <v>32.200000000000003</v>
      </c>
      <c r="H18" s="103"/>
    </row>
    <row r="19" spans="1:8">
      <c r="B19" s="5"/>
      <c r="F19" s="103"/>
      <c r="G19" s="12"/>
      <c r="H19" s="103"/>
    </row>
    <row r="20" spans="1:8">
      <c r="B20" s="5" t="s">
        <v>56</v>
      </c>
      <c r="C20" s="2" t="s">
        <v>57</v>
      </c>
      <c r="E20" s="141">
        <v>1840.6</v>
      </c>
      <c r="F20" s="100">
        <f>IF(OR(E8&lt;&gt;"",E10&lt;&gt;"",E13&lt;&gt;"",E14&lt;&gt;"",E15&lt;&gt;"",E16&lt;&gt;"",E18&lt;&gt;"",E20&lt;&gt;""),SUM(E8:E20),"")</f>
        <v>10400.800000000001</v>
      </c>
      <c r="G20" s="143">
        <v>1229.5999999999999</v>
      </c>
      <c r="H20" s="105">
        <f>IF(OR(G8&lt;&gt;"",G10&lt;&gt;"",G13&lt;&gt;"",G14&lt;&gt;"",G15&lt;&gt;"",G16&lt;&gt;"",G18&lt;&gt;"",G20&lt;&gt;""),SUM(G8:G20),"")</f>
        <v>8562.2999999999993</v>
      </c>
    </row>
    <row r="21" spans="1:8">
      <c r="B21" s="5"/>
      <c r="F21" s="103"/>
      <c r="G21" s="12"/>
      <c r="H21" s="103"/>
    </row>
    <row r="22" spans="1:8">
      <c r="A22" s="3" t="s">
        <v>2</v>
      </c>
      <c r="B22" s="5" t="s">
        <v>114</v>
      </c>
      <c r="E22" s="141">
        <v>1800.4</v>
      </c>
      <c r="F22" s="100">
        <f>IF(E22&lt;&gt;"",E22,"")</f>
        <v>1800.4</v>
      </c>
      <c r="G22" s="143">
        <v>1670.2</v>
      </c>
      <c r="H22" s="105">
        <f>IF(G22&lt;&gt;"",G22,"")</f>
        <v>1670.2</v>
      </c>
    </row>
    <row r="23" spans="1:8">
      <c r="B23" s="5"/>
      <c r="F23" s="103"/>
      <c r="G23" s="12"/>
      <c r="H23" s="103"/>
    </row>
    <row r="24" spans="1:8">
      <c r="A24" s="3" t="s">
        <v>20</v>
      </c>
      <c r="B24" s="5" t="s">
        <v>58</v>
      </c>
      <c r="F24" s="103"/>
      <c r="G24" s="12"/>
      <c r="H24" s="103"/>
    </row>
    <row r="25" spans="1:8" ht="25.5">
      <c r="C25" s="5" t="s">
        <v>6</v>
      </c>
      <c r="D25" s="1" t="s">
        <v>59</v>
      </c>
      <c r="E25" s="141">
        <v>1400.6</v>
      </c>
      <c r="F25" s="103"/>
      <c r="G25" s="143">
        <v>1230.4000000000001</v>
      </c>
      <c r="H25" s="103"/>
    </row>
    <row r="26" spans="1:8">
      <c r="C26" s="5" t="s">
        <v>8</v>
      </c>
      <c r="D26" s="1" t="s">
        <v>60</v>
      </c>
      <c r="E26" s="141">
        <v>520.4</v>
      </c>
      <c r="F26" s="103"/>
      <c r="G26" s="143">
        <v>408.6</v>
      </c>
      <c r="H26" s="103"/>
    </row>
    <row r="27" spans="1:8">
      <c r="C27" s="5" t="s">
        <v>12</v>
      </c>
      <c r="D27" s="1" t="s">
        <v>61</v>
      </c>
      <c r="E27" s="141">
        <v>1000.5</v>
      </c>
      <c r="F27" s="100">
        <f>IF(OR(E25&lt;&gt;"",E26&lt;&gt;"",E27&lt;&gt;""),SUM(E25:E27),"")</f>
        <v>2921.5</v>
      </c>
      <c r="G27" s="143">
        <v>1070.3</v>
      </c>
      <c r="H27" s="105">
        <f>IF(OR(G25&lt;&gt;"",G26&lt;&gt;"",G27&lt;&gt;""),SUM(G25:G27),"")</f>
        <v>2709.3</v>
      </c>
    </row>
    <row r="28" spans="1:8">
      <c r="A28" s="3" t="s">
        <v>36</v>
      </c>
      <c r="B28" s="5" t="s">
        <v>62</v>
      </c>
      <c r="F28" s="103"/>
      <c r="G28" s="12"/>
      <c r="H28" s="103"/>
    </row>
    <row r="29" spans="1:8">
      <c r="C29" s="5" t="s">
        <v>6</v>
      </c>
      <c r="D29" s="1" t="s">
        <v>63</v>
      </c>
      <c r="E29" s="141"/>
      <c r="F29" s="103"/>
      <c r="G29" s="143"/>
      <c r="H29" s="103"/>
    </row>
    <row r="30" spans="1:8">
      <c r="C30" s="5" t="s">
        <v>8</v>
      </c>
      <c r="D30" s="1" t="s">
        <v>64</v>
      </c>
      <c r="E30" s="141">
        <v>2211</v>
      </c>
      <c r="F30" s="103"/>
      <c r="G30" s="143">
        <v>1682</v>
      </c>
      <c r="H30" s="103"/>
    </row>
    <row r="31" spans="1:8">
      <c r="C31" s="5" t="s">
        <v>12</v>
      </c>
      <c r="D31" s="1" t="s">
        <v>65</v>
      </c>
      <c r="E31" s="141">
        <v>80.3</v>
      </c>
      <c r="F31" s="103"/>
      <c r="G31" s="143">
        <v>30.2</v>
      </c>
      <c r="H31" s="103"/>
    </row>
    <row r="32" spans="1:8" ht="25.5">
      <c r="C32" s="5" t="s">
        <v>23</v>
      </c>
      <c r="D32" s="1" t="s">
        <v>66</v>
      </c>
      <c r="E32" s="141">
        <v>360.7</v>
      </c>
      <c r="F32" s="103"/>
      <c r="G32" s="143">
        <v>257.3</v>
      </c>
      <c r="H32" s="103"/>
    </row>
    <row r="33" spans="1:8" ht="38.25">
      <c r="C33" s="5" t="s">
        <v>41</v>
      </c>
      <c r="D33" s="1" t="s">
        <v>67</v>
      </c>
      <c r="E33" s="141">
        <v>340.6</v>
      </c>
      <c r="F33" s="103"/>
      <c r="G33" s="143">
        <v>140.69999999999999</v>
      </c>
      <c r="H33" s="103"/>
    </row>
    <row r="34" spans="1:8" ht="25.5">
      <c r="C34" s="5" t="s">
        <v>43</v>
      </c>
      <c r="D34" s="1" t="s">
        <v>68</v>
      </c>
      <c r="E34" s="141">
        <v>120.4</v>
      </c>
      <c r="F34" s="103"/>
      <c r="G34" s="143"/>
      <c r="H34" s="103"/>
    </row>
    <row r="35" spans="1:8" ht="25.5">
      <c r="C35" s="5" t="s">
        <v>69</v>
      </c>
      <c r="D35" s="1" t="s">
        <v>70</v>
      </c>
      <c r="E35" s="141"/>
      <c r="F35" s="103"/>
      <c r="G35" s="143"/>
      <c r="H35" s="103"/>
    </row>
    <row r="36" spans="1:8">
      <c r="C36" s="5" t="s">
        <v>71</v>
      </c>
      <c r="D36" s="1" t="s">
        <v>72</v>
      </c>
      <c r="E36" s="141">
        <v>620.6</v>
      </c>
      <c r="F36" s="100">
        <f>IF(OR(E29&lt;&gt;"",E30&lt;&gt;"",E31&lt;&gt;"",E32&lt;&gt;"",E33&lt;&gt;"",E34&lt;&gt;"",E35&lt;&gt;"",E36&lt;&gt;""),SUM(E29:E36),"")</f>
        <v>3733.6</v>
      </c>
      <c r="G36" s="143">
        <v>500.4</v>
      </c>
      <c r="H36" s="100">
        <f>IF(OR(G29&lt;&gt;"",G30&lt;&gt;"",G31&lt;&gt;"",G32&lt;&gt;"",G33&lt;&gt;"",G34&lt;&gt;"",G35&lt;&gt;"",G36&lt;&gt;""),SUM(G29:G36),"")</f>
        <v>2610.6</v>
      </c>
    </row>
    <row r="37" spans="1:8">
      <c r="C37" s="5"/>
      <c r="D37" s="1" t="s">
        <v>73</v>
      </c>
      <c r="E37" s="145">
        <v>450.4</v>
      </c>
      <c r="F37" s="103"/>
      <c r="G37" s="144">
        <v>359.2</v>
      </c>
      <c r="H37" s="103"/>
    </row>
    <row r="38" spans="1:8">
      <c r="C38" s="5"/>
      <c r="D38" s="1" t="s">
        <v>74</v>
      </c>
      <c r="E38" s="145">
        <v>150</v>
      </c>
      <c r="F38" s="103"/>
      <c r="G38" s="144">
        <v>111</v>
      </c>
      <c r="H38" s="103"/>
    </row>
    <row r="39" spans="1:8">
      <c r="B39" s="5"/>
      <c r="F39" s="103"/>
      <c r="G39" s="12"/>
      <c r="H39" s="103"/>
    </row>
    <row r="40" spans="1:8">
      <c r="A40" s="3" t="s">
        <v>115</v>
      </c>
      <c r="B40" s="5" t="s">
        <v>37</v>
      </c>
      <c r="C40" s="5"/>
      <c r="E40" s="141">
        <v>5.8</v>
      </c>
      <c r="F40" s="100">
        <f>IF(E40&lt;&gt;"",E40,"")</f>
        <v>5.8</v>
      </c>
      <c r="G40" s="143">
        <v>4.5</v>
      </c>
      <c r="H40" s="100">
        <f>IF(G40&lt;&gt;"",G40,"")</f>
        <v>4.5</v>
      </c>
    </row>
    <row r="41" spans="1:8" ht="13.5" thickBot="1">
      <c r="F41" s="103"/>
      <c r="G41" s="12"/>
      <c r="H41" s="103"/>
    </row>
    <row r="42" spans="1:8" ht="13.5" thickBot="1">
      <c r="A42" s="3" t="s">
        <v>287</v>
      </c>
      <c r="F42" s="104">
        <f>IF(OR(F20&lt;&gt;"",F22&lt;&gt;"",F27&lt;&gt;"",F36&lt;&gt;"",F40&lt;&gt;""),ROUND(SUM(F20:F40),1),"")</f>
        <v>18862.099999999999</v>
      </c>
      <c r="G42" s="12"/>
      <c r="H42" s="104">
        <f>IF(OR(H20&lt;&gt;"",H22&lt;&gt;"",H27&lt;&gt;"",H36&lt;&gt;"",H40&lt;&gt;""),ROUND(SUM(H20:H40),1),"")</f>
        <v>15556.9</v>
      </c>
    </row>
    <row r="44" spans="1:8" ht="13.5" thickBot="1"/>
    <row r="45" spans="1:8" ht="13.5" thickBot="1">
      <c r="D45" s="137" t="s">
        <v>286</v>
      </c>
      <c r="F45" s="136" t="str">
        <f>IF(F42-Aktiva!F49&lt;&gt;0,"Differenz","in Ordnung")</f>
        <v>in Ordnung</v>
      </c>
      <c r="H45" s="136" t="str">
        <f>IF(H42-Aktiva!H49&lt;&gt;0,"Differenz","in Ordnung")</f>
        <v>in Ordnung</v>
      </c>
    </row>
    <row r="46" spans="1:8">
      <c r="D46" s="134"/>
    </row>
  </sheetData>
  <mergeCells count="3">
    <mergeCell ref="E4:F4"/>
    <mergeCell ref="G4:H4"/>
    <mergeCell ref="A1:H1"/>
  </mergeCells>
  <phoneticPr fontId="0" type="noConversion"/>
  <conditionalFormatting sqref="F45 H45">
    <cfRule type="cellIs" dxfId="0" priority="1" stopIfTrue="1" operator="equal">
      <formula>"Differenz"</formula>
    </cfRule>
  </conditionalFormatting>
  <pageMargins left="0.59055118110236227" right="0.39370078740157483" top="0.98425196850393704" bottom="0.98425196850393704" header="0.51181102362204722" footer="0.51181102362204722"/>
  <pageSetup paperSize="9" orientation="portrait" r:id="rId1"/>
  <headerFooter alignWithMargins="0">
    <oddFooter>&amp;L&amp;A&amp;C&amp;8&amp;P / &amp;N&amp;R&amp;8&amp;D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>
    <pageSetUpPr fitToPage="1"/>
  </sheetPr>
  <dimension ref="A1:H52"/>
  <sheetViews>
    <sheetView zoomScale="80" zoomScaleNormal="80" workbookViewId="0">
      <selection sqref="A1:F1"/>
    </sheetView>
  </sheetViews>
  <sheetFormatPr baseColWidth="10" defaultRowHeight="12.75"/>
  <cols>
    <col min="1" max="1" width="3.42578125" style="3" customWidth="1"/>
    <col min="2" max="2" width="46.140625" style="8" customWidth="1"/>
    <col min="3" max="3" width="12.85546875" style="2" customWidth="1"/>
    <col min="4" max="4" width="11.28515625" style="1" customWidth="1"/>
  </cols>
  <sheetData>
    <row r="1" spans="1:8" ht="18">
      <c r="A1" s="183" t="str">
        <f>"Gewinn- und Verlustrechnung der Firma " &amp;Aktiva!D3</f>
        <v>Gewinn- und Verlustrechnung der Firma Buchhaus GmbH</v>
      </c>
      <c r="B1" s="183"/>
      <c r="C1" s="183"/>
      <c r="D1" s="183"/>
      <c r="E1" s="183"/>
      <c r="F1" s="183"/>
      <c r="G1" s="91"/>
      <c r="H1" s="91"/>
    </row>
    <row r="3" spans="1:8">
      <c r="A3" s="4"/>
    </row>
    <row r="4" spans="1:8">
      <c r="A4" s="4"/>
      <c r="C4" s="178" t="str">
        <f>"Berichtsjahr "&amp;Aktiva!$D$4</f>
        <v>Berichtsjahr 2019</v>
      </c>
      <c r="D4" s="178"/>
      <c r="E4" s="179" t="str">
        <f>"Vorjahr "&amp;Aktiva!$D$4-1</f>
        <v>Vorjahr 2018</v>
      </c>
      <c r="F4" s="180"/>
    </row>
    <row r="5" spans="1:8" ht="13.5" thickBot="1">
      <c r="A5" s="4" t="s">
        <v>75</v>
      </c>
      <c r="C5" s="16" t="s">
        <v>110</v>
      </c>
      <c r="D5" s="16" t="s">
        <v>110</v>
      </c>
      <c r="E5" s="17" t="s">
        <v>110</v>
      </c>
      <c r="F5" s="16" t="s">
        <v>110</v>
      </c>
    </row>
    <row r="6" spans="1:8">
      <c r="E6" s="20"/>
    </row>
    <row r="7" spans="1:8">
      <c r="A7" s="10" t="s">
        <v>6</v>
      </c>
      <c r="B7" s="9" t="s">
        <v>78</v>
      </c>
      <c r="C7" s="146">
        <v>21518</v>
      </c>
      <c r="E7" s="147">
        <v>18557.5</v>
      </c>
      <c r="F7" s="1"/>
    </row>
    <row r="8" spans="1:8" ht="25.5">
      <c r="A8" s="10" t="s">
        <v>8</v>
      </c>
      <c r="B8" s="9" t="s">
        <v>116</v>
      </c>
      <c r="C8" s="146">
        <v>216</v>
      </c>
      <c r="E8" s="147">
        <v>180.3</v>
      </c>
      <c r="F8" s="1"/>
    </row>
    <row r="9" spans="1:8">
      <c r="A9" s="10" t="s">
        <v>12</v>
      </c>
      <c r="B9" s="9" t="s">
        <v>79</v>
      </c>
      <c r="C9" s="146"/>
      <c r="D9" s="7"/>
      <c r="E9" s="147"/>
      <c r="F9" s="7"/>
    </row>
    <row r="10" spans="1:8">
      <c r="A10" s="10" t="s">
        <v>23</v>
      </c>
      <c r="B10" s="9" t="s">
        <v>80</v>
      </c>
      <c r="C10" s="146">
        <v>282.60000000000002</v>
      </c>
      <c r="D10" s="7"/>
      <c r="E10" s="147">
        <v>166.8</v>
      </c>
      <c r="F10" s="7"/>
    </row>
    <row r="11" spans="1:8">
      <c r="A11" s="10" t="s">
        <v>41</v>
      </c>
      <c r="B11" s="9" t="s">
        <v>81</v>
      </c>
      <c r="C11" s="6"/>
      <c r="D11" s="7"/>
      <c r="E11" s="23"/>
      <c r="F11" s="7"/>
    </row>
    <row r="12" spans="1:8" ht="25.5">
      <c r="A12" s="10"/>
      <c r="B12" s="9" t="s">
        <v>82</v>
      </c>
      <c r="C12" s="146">
        <v>-6388.9</v>
      </c>
      <c r="D12" s="7"/>
      <c r="E12" s="147">
        <v>-5680.4</v>
      </c>
      <c r="F12" s="7"/>
    </row>
    <row r="13" spans="1:8">
      <c r="A13" s="10"/>
      <c r="B13" s="9" t="s">
        <v>83</v>
      </c>
      <c r="C13" s="146">
        <v>-872.4</v>
      </c>
      <c r="D13" s="7"/>
      <c r="E13" s="147">
        <v>-802.6</v>
      </c>
      <c r="F13" s="7"/>
    </row>
    <row r="14" spans="1:8">
      <c r="A14" s="10" t="s">
        <v>43</v>
      </c>
      <c r="B14" s="9" t="s">
        <v>84</v>
      </c>
      <c r="C14" s="6"/>
      <c r="D14" s="7"/>
      <c r="E14" s="22"/>
      <c r="F14" s="7"/>
    </row>
    <row r="15" spans="1:8">
      <c r="A15" s="10"/>
      <c r="B15" s="9" t="s">
        <v>85</v>
      </c>
      <c r="C15" s="146">
        <v>-6000.6</v>
      </c>
      <c r="D15" s="7"/>
      <c r="E15" s="147">
        <v>-5094.3999999999996</v>
      </c>
      <c r="F15" s="7"/>
    </row>
    <row r="16" spans="1:8" ht="25.5">
      <c r="A16" s="10"/>
      <c r="B16" s="9" t="s">
        <v>86</v>
      </c>
      <c r="C16" s="146">
        <v>-1839.4</v>
      </c>
      <c r="D16" s="7"/>
      <c r="E16" s="147">
        <v>-1373.6</v>
      </c>
      <c r="F16" s="7"/>
    </row>
    <row r="17" spans="1:6">
      <c r="A17" s="10" t="s">
        <v>69</v>
      </c>
      <c r="B17" s="9" t="s">
        <v>87</v>
      </c>
      <c r="C17" s="6"/>
      <c r="D17" s="7"/>
      <c r="E17" s="22"/>
      <c r="F17" s="7"/>
    </row>
    <row r="18" spans="1:6" ht="51">
      <c r="A18" s="10"/>
      <c r="B18" s="9" t="s">
        <v>293</v>
      </c>
      <c r="C18" s="146">
        <v>-2198</v>
      </c>
      <c r="D18" s="7"/>
      <c r="E18" s="147">
        <v>-2038.6</v>
      </c>
      <c r="F18" s="7"/>
    </row>
    <row r="19" spans="1:6" ht="39.75" customHeight="1">
      <c r="A19" s="10"/>
      <c r="B19" s="9" t="s">
        <v>294</v>
      </c>
      <c r="C19" s="146">
        <v>-102</v>
      </c>
      <c r="D19" s="7"/>
      <c r="E19" s="147">
        <v>-134.4</v>
      </c>
      <c r="F19" s="7"/>
    </row>
    <row r="20" spans="1:6">
      <c r="A20" s="10" t="s">
        <v>71</v>
      </c>
      <c r="B20" s="9" t="s">
        <v>88</v>
      </c>
      <c r="C20" s="146">
        <v>-595.29999999999995</v>
      </c>
      <c r="D20" s="7"/>
      <c r="E20" s="147">
        <v>-1444.3</v>
      </c>
      <c r="F20" s="7"/>
    </row>
    <row r="21" spans="1:6">
      <c r="A21" s="10" t="s">
        <v>89</v>
      </c>
      <c r="B21" s="9" t="s">
        <v>90</v>
      </c>
      <c r="C21" s="146">
        <v>20.3</v>
      </c>
      <c r="D21" s="7"/>
      <c r="E21" s="147">
        <v>10.8</v>
      </c>
      <c r="F21" s="7"/>
    </row>
    <row r="22" spans="1:6" ht="25.5">
      <c r="A22" s="10" t="s">
        <v>91</v>
      </c>
      <c r="B22" s="9" t="s">
        <v>92</v>
      </c>
      <c r="C22" s="141">
        <v>0</v>
      </c>
      <c r="D22" s="106"/>
      <c r="E22" s="147">
        <v>0</v>
      </c>
      <c r="F22" s="106"/>
    </row>
    <row r="23" spans="1:6">
      <c r="A23" s="10" t="s">
        <v>93</v>
      </c>
      <c r="B23" s="9" t="s">
        <v>94</v>
      </c>
      <c r="C23" s="146">
        <v>104.2</v>
      </c>
      <c r="D23" s="106"/>
      <c r="E23" s="147">
        <v>148.4</v>
      </c>
      <c r="F23" s="106"/>
    </row>
    <row r="24" spans="1:6" ht="25.5">
      <c r="A24" s="10" t="s">
        <v>95</v>
      </c>
      <c r="B24" s="9" t="s">
        <v>117</v>
      </c>
      <c r="C24" s="141">
        <v>0</v>
      </c>
      <c r="D24" s="106"/>
      <c r="E24" s="147">
        <v>0</v>
      </c>
      <c r="F24" s="106"/>
    </row>
    <row r="25" spans="1:6" ht="25.5">
      <c r="A25" s="10" t="s">
        <v>96</v>
      </c>
      <c r="B25" s="9" t="s">
        <v>295</v>
      </c>
      <c r="C25" s="141">
        <v>0</v>
      </c>
      <c r="D25" s="106"/>
      <c r="E25" s="147">
        <v>0</v>
      </c>
      <c r="F25" s="106"/>
    </row>
    <row r="26" spans="1:6">
      <c r="A26" s="11" t="s">
        <v>98</v>
      </c>
      <c r="B26" s="9" t="s">
        <v>97</v>
      </c>
      <c r="C26" s="141">
        <v>-257.39999999999998</v>
      </c>
      <c r="D26" s="106"/>
      <c r="E26" s="147">
        <v>-193.2</v>
      </c>
      <c r="F26" s="106"/>
    </row>
    <row r="27" spans="1:6">
      <c r="A27" s="11" t="s">
        <v>100</v>
      </c>
      <c r="B27" s="9" t="s">
        <v>99</v>
      </c>
      <c r="C27" s="7"/>
      <c r="D27" s="107">
        <f>IF(SUM(C7:C26)&gt;0,SUM(C7:C26),"")</f>
        <v>3887.099999999999</v>
      </c>
      <c r="E27" s="23"/>
      <c r="F27" s="107">
        <f>IF(SUM(E7:E26)&gt;0,SUM(E7:E26),"")</f>
        <v>2302.2999999999988</v>
      </c>
    </row>
    <row r="28" spans="1:6">
      <c r="A28" s="11" t="s">
        <v>103</v>
      </c>
      <c r="B28" s="9" t="s">
        <v>102</v>
      </c>
      <c r="C28" s="146">
        <v>79</v>
      </c>
      <c r="D28" s="106"/>
      <c r="E28" s="147">
        <v>100</v>
      </c>
      <c r="F28" s="106"/>
    </row>
    <row r="29" spans="1:6">
      <c r="A29" s="11" t="s">
        <v>109</v>
      </c>
      <c r="B29" s="9" t="s">
        <v>101</v>
      </c>
      <c r="C29" s="146">
        <v>0</v>
      </c>
      <c r="D29" s="106"/>
      <c r="E29" s="147">
        <v>0</v>
      </c>
      <c r="F29" s="106"/>
    </row>
    <row r="30" spans="1:6">
      <c r="A30" s="11" t="s">
        <v>105</v>
      </c>
      <c r="B30" s="9" t="s">
        <v>104</v>
      </c>
      <c r="C30" s="7"/>
      <c r="D30" s="107">
        <f>IF(OR(C28&lt;&gt;"",C29&lt;&gt;""),SUM(C28:C29),"")</f>
        <v>79</v>
      </c>
      <c r="E30" s="23"/>
      <c r="F30" s="107">
        <f>IF(OR(E28&lt;&gt;"",E29&lt;&gt;""),SUM(E28:E29),"")</f>
        <v>100</v>
      </c>
    </row>
    <row r="31" spans="1:6">
      <c r="A31" s="11" t="s">
        <v>107</v>
      </c>
      <c r="B31" s="9" t="s">
        <v>106</v>
      </c>
      <c r="C31" s="146">
        <v>-2062.1999999999998</v>
      </c>
      <c r="D31" s="107">
        <f>IF(C31&lt;&gt;"",C31,"")</f>
        <v>-2062.1999999999998</v>
      </c>
      <c r="E31" s="147">
        <v>-1121</v>
      </c>
      <c r="F31" s="107">
        <f>IF(E31&lt;&gt;"",E31,"")</f>
        <v>-1121</v>
      </c>
    </row>
    <row r="32" spans="1:6">
      <c r="A32" s="11" t="s">
        <v>165</v>
      </c>
      <c r="B32" s="9" t="s">
        <v>108</v>
      </c>
      <c r="C32" s="146">
        <v>-63.3</v>
      </c>
      <c r="D32" s="108">
        <f>IF(C32&lt;&gt;"",C32,"")</f>
        <v>-63.3</v>
      </c>
      <c r="E32" s="147">
        <v>-51.7</v>
      </c>
      <c r="F32" s="108">
        <f>IF(E32&lt;&gt;"",E32,"")</f>
        <v>-51.7</v>
      </c>
    </row>
    <row r="33" spans="1:6" ht="26.25" thickBot="1">
      <c r="A33" s="10" t="s">
        <v>289</v>
      </c>
      <c r="B33" s="9" t="s">
        <v>288</v>
      </c>
      <c r="C33" s="146">
        <v>0</v>
      </c>
      <c r="D33" s="129">
        <f>C33</f>
        <v>0</v>
      </c>
      <c r="E33" s="146">
        <v>0</v>
      </c>
      <c r="F33" s="129">
        <f>E33</f>
        <v>0</v>
      </c>
    </row>
    <row r="34" spans="1:6" ht="13.5" thickBot="1">
      <c r="A34" s="11" t="s">
        <v>290</v>
      </c>
      <c r="B34" s="9" t="s">
        <v>57</v>
      </c>
      <c r="C34" s="6"/>
      <c r="D34" s="109">
        <f>IF(SUM(C7:C33)&lt;&gt;"",SUM(D27:D33),"")</f>
        <v>1840.5999999999992</v>
      </c>
      <c r="E34" s="22"/>
      <c r="F34" s="109">
        <f>IF(SUM(E7:E33)&lt;&gt;"",SUM(F27:F33),"")</f>
        <v>1229.5999999999988</v>
      </c>
    </row>
    <row r="35" spans="1:6">
      <c r="B35" s="9"/>
      <c r="C35" s="6"/>
      <c r="D35" s="7"/>
    </row>
    <row r="36" spans="1:6">
      <c r="A36" s="11"/>
      <c r="B36" s="9"/>
      <c r="C36" s="6"/>
      <c r="D36" s="7"/>
    </row>
    <row r="37" spans="1:6">
      <c r="A37" s="11"/>
      <c r="B37" s="9"/>
      <c r="C37" s="6"/>
      <c r="D37" s="7"/>
    </row>
    <row r="38" spans="1:6">
      <c r="A38" s="11"/>
      <c r="B38" s="9"/>
      <c r="C38" s="6"/>
      <c r="D38" s="7"/>
    </row>
    <row r="39" spans="1:6">
      <c r="A39" s="11"/>
      <c r="B39" s="9"/>
      <c r="C39" s="6"/>
      <c r="D39" s="7"/>
    </row>
    <row r="40" spans="1:6">
      <c r="B40" s="9"/>
      <c r="C40" s="6"/>
      <c r="D40" s="7"/>
    </row>
    <row r="41" spans="1:6">
      <c r="B41" s="9"/>
      <c r="C41" s="6"/>
      <c r="D41" s="7"/>
    </row>
    <row r="42" spans="1:6">
      <c r="B42" s="9"/>
      <c r="C42" s="6"/>
      <c r="D42" s="7"/>
    </row>
    <row r="43" spans="1:6">
      <c r="B43" s="9"/>
      <c r="C43" s="6"/>
      <c r="D43" s="7"/>
    </row>
    <row r="44" spans="1:6">
      <c r="B44" s="9"/>
      <c r="C44" s="6"/>
      <c r="D44" s="7"/>
    </row>
    <row r="45" spans="1:6">
      <c r="B45" s="9"/>
      <c r="C45" s="6"/>
      <c r="D45" s="7"/>
    </row>
    <row r="46" spans="1:6">
      <c r="B46" s="9"/>
      <c r="C46" s="6"/>
      <c r="D46" s="7"/>
    </row>
    <row r="47" spans="1:6">
      <c r="B47" s="9"/>
      <c r="C47" s="6"/>
      <c r="D47" s="7"/>
    </row>
    <row r="48" spans="1:6">
      <c r="B48" s="9"/>
      <c r="C48" s="6"/>
      <c r="D48" s="7"/>
    </row>
    <row r="49" spans="2:4">
      <c r="B49" s="9"/>
      <c r="C49" s="6"/>
      <c r="D49" s="7"/>
    </row>
    <row r="50" spans="2:4">
      <c r="B50" s="9"/>
      <c r="C50" s="6"/>
      <c r="D50" s="7"/>
    </row>
    <row r="51" spans="2:4">
      <c r="B51" s="9"/>
      <c r="C51" s="6"/>
      <c r="D51" s="7"/>
    </row>
    <row r="52" spans="2:4">
      <c r="B52" s="9"/>
      <c r="C52" s="6"/>
      <c r="D52" s="7"/>
    </row>
  </sheetData>
  <mergeCells count="3">
    <mergeCell ref="C4:D4"/>
    <mergeCell ref="E4:F4"/>
    <mergeCell ref="A1:F1"/>
  </mergeCells>
  <phoneticPr fontId="0" type="noConversion"/>
  <pageMargins left="0.59055118110236227" right="0.39370078740157483" top="0.98425196850393704" bottom="0.98425196850393704" header="0.51181102362204722" footer="0.51181102362204722"/>
  <pageSetup paperSize="9" scale="98" orientation="portrait" r:id="rId1"/>
  <headerFooter alignWithMargins="0">
    <oddFooter>&amp;L&amp;A&amp;C&amp;8&amp;P / &amp;N&amp;R&amp;8&amp;D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/>
  <dimension ref="A1:H44"/>
  <sheetViews>
    <sheetView zoomScale="80" zoomScaleNormal="80" workbookViewId="0">
      <selection activeCell="D10" sqref="D10"/>
    </sheetView>
  </sheetViews>
  <sheetFormatPr baseColWidth="10" defaultRowHeight="12.75"/>
  <cols>
    <col min="1" max="1" width="27.85546875" customWidth="1"/>
    <col min="2" max="2" width="5.140625" customWidth="1"/>
    <col min="3" max="3" width="12.7109375" bestFit="1" customWidth="1"/>
    <col min="4" max="4" width="11.5703125" bestFit="1" customWidth="1"/>
    <col min="5" max="5" width="12.5703125" bestFit="1" customWidth="1"/>
    <col min="6" max="6" width="12.140625" bestFit="1" customWidth="1"/>
  </cols>
  <sheetData>
    <row r="1" spans="1:8" ht="18" customHeight="1">
      <c r="A1" s="183" t="s">
        <v>296</v>
      </c>
      <c r="B1" s="183"/>
      <c r="C1" s="183"/>
      <c r="D1" s="183"/>
      <c r="E1" s="183"/>
      <c r="F1" s="183"/>
      <c r="H1" s="91"/>
    </row>
    <row r="2" spans="1:8">
      <c r="A2" s="63"/>
      <c r="B2" s="63"/>
      <c r="C2" s="63"/>
      <c r="D2" s="63"/>
      <c r="E2" s="63"/>
      <c r="F2" s="63"/>
      <c r="G2" s="63"/>
    </row>
    <row r="3" spans="1:8">
      <c r="A3" s="4" t="s">
        <v>118</v>
      </c>
    </row>
    <row r="5" spans="1:8">
      <c r="A5" s="24"/>
      <c r="B5" s="24"/>
      <c r="C5" s="24"/>
      <c r="D5" s="184" t="s">
        <v>121</v>
      </c>
      <c r="E5" s="185"/>
      <c r="F5" s="186"/>
    </row>
    <row r="6" spans="1:8" ht="13.5" thickBot="1">
      <c r="A6" s="29" t="s">
        <v>119</v>
      </c>
      <c r="B6" s="29"/>
      <c r="C6" s="29" t="s">
        <v>120</v>
      </c>
      <c r="D6" s="25" t="s">
        <v>122</v>
      </c>
      <c r="E6" s="26" t="s">
        <v>123</v>
      </c>
      <c r="F6" s="27" t="s">
        <v>124</v>
      </c>
    </row>
    <row r="7" spans="1:8">
      <c r="D7" s="12"/>
      <c r="E7" s="13"/>
      <c r="F7" s="33"/>
    </row>
    <row r="8" spans="1:8">
      <c r="A8" s="1" t="s">
        <v>125</v>
      </c>
      <c r="B8" s="31" t="s">
        <v>134</v>
      </c>
      <c r="C8" s="148">
        <v>0</v>
      </c>
      <c r="D8" s="147">
        <v>0</v>
      </c>
      <c r="E8" s="146">
        <v>0</v>
      </c>
      <c r="F8" s="149">
        <v>0</v>
      </c>
    </row>
    <row r="9" spans="1:8" ht="13.5" thickBot="1">
      <c r="A9" s="30"/>
      <c r="B9" s="32" t="s">
        <v>135</v>
      </c>
      <c r="C9" s="154">
        <v>0</v>
      </c>
      <c r="D9" s="155">
        <v>0</v>
      </c>
      <c r="E9" s="156">
        <v>0</v>
      </c>
      <c r="F9" s="157">
        <v>0</v>
      </c>
    </row>
    <row r="10" spans="1:8" ht="25.5">
      <c r="A10" s="1" t="s">
        <v>127</v>
      </c>
      <c r="B10" s="31" t="s">
        <v>134</v>
      </c>
      <c r="C10" s="150">
        <v>2211</v>
      </c>
      <c r="D10" s="151">
        <v>1100</v>
      </c>
      <c r="E10" s="152">
        <v>0</v>
      </c>
      <c r="F10" s="153">
        <v>1111</v>
      </c>
    </row>
    <row r="11" spans="1:8" ht="13.5" thickBot="1">
      <c r="A11" s="34"/>
      <c r="B11" s="32" t="s">
        <v>135</v>
      </c>
      <c r="C11" s="154">
        <v>1682</v>
      </c>
      <c r="D11" s="155">
        <v>971</v>
      </c>
      <c r="E11" s="156">
        <v>0</v>
      </c>
      <c r="F11" s="157">
        <v>711</v>
      </c>
    </row>
    <row r="12" spans="1:8" ht="25.5">
      <c r="A12" s="1" t="s">
        <v>126</v>
      </c>
      <c r="B12" s="31" t="s">
        <v>134</v>
      </c>
      <c r="C12" s="150">
        <v>80.3</v>
      </c>
      <c r="D12" s="151">
        <v>80.3</v>
      </c>
      <c r="E12" s="152">
        <v>0</v>
      </c>
      <c r="F12" s="153">
        <v>0</v>
      </c>
    </row>
    <row r="13" spans="1:8" ht="13.5" thickBot="1">
      <c r="A13" s="34"/>
      <c r="B13" s="32" t="s">
        <v>135</v>
      </c>
      <c r="C13" s="154">
        <v>30.2</v>
      </c>
      <c r="D13" s="155">
        <v>30.2</v>
      </c>
      <c r="E13" s="156">
        <v>0</v>
      </c>
      <c r="F13" s="157">
        <v>0</v>
      </c>
    </row>
    <row r="14" spans="1:8" ht="25.5">
      <c r="A14" s="1" t="s">
        <v>128</v>
      </c>
      <c r="B14" s="31" t="s">
        <v>134</v>
      </c>
      <c r="C14" s="150">
        <v>360.7</v>
      </c>
      <c r="D14" s="151">
        <v>360.7</v>
      </c>
      <c r="E14" s="152">
        <v>0</v>
      </c>
      <c r="F14" s="153">
        <v>0</v>
      </c>
    </row>
    <row r="15" spans="1:8" ht="13.5" thickBot="1">
      <c r="A15" s="34"/>
      <c r="B15" s="32" t="s">
        <v>135</v>
      </c>
      <c r="C15" s="154">
        <v>257.3</v>
      </c>
      <c r="D15" s="155">
        <v>257.3</v>
      </c>
      <c r="E15" s="156">
        <v>0</v>
      </c>
      <c r="F15" s="157">
        <v>0</v>
      </c>
    </row>
    <row r="16" spans="1:8" ht="51">
      <c r="A16" s="1" t="s">
        <v>129</v>
      </c>
      <c r="B16" s="31" t="s">
        <v>134</v>
      </c>
      <c r="C16" s="150">
        <v>340.6</v>
      </c>
      <c r="D16" s="151">
        <v>340.6</v>
      </c>
      <c r="E16" s="152">
        <v>0</v>
      </c>
      <c r="F16" s="153">
        <v>0</v>
      </c>
    </row>
    <row r="17" spans="1:6" ht="13.5" thickBot="1">
      <c r="A17" s="34"/>
      <c r="B17" s="32" t="s">
        <v>135</v>
      </c>
      <c r="C17" s="154">
        <v>140.69999999999999</v>
      </c>
      <c r="D17" s="155">
        <v>140.69999999999999</v>
      </c>
      <c r="E17" s="156">
        <v>0</v>
      </c>
      <c r="F17" s="157">
        <v>0</v>
      </c>
    </row>
    <row r="18" spans="1:6" ht="25.5">
      <c r="A18" s="1" t="s">
        <v>130</v>
      </c>
      <c r="B18" s="31" t="s">
        <v>134</v>
      </c>
      <c r="C18" s="150">
        <v>120.4</v>
      </c>
      <c r="D18" s="151">
        <v>0</v>
      </c>
      <c r="E18" s="152">
        <v>120.4</v>
      </c>
      <c r="F18" s="153">
        <v>0</v>
      </c>
    </row>
    <row r="19" spans="1:6" ht="13.5" thickBot="1">
      <c r="A19" s="34"/>
      <c r="B19" s="32" t="s">
        <v>135</v>
      </c>
      <c r="C19" s="154">
        <v>0</v>
      </c>
      <c r="D19" s="155">
        <v>0</v>
      </c>
      <c r="E19" s="156">
        <v>0</v>
      </c>
      <c r="F19" s="157">
        <v>0</v>
      </c>
    </row>
    <row r="20" spans="1:6" ht="38.25">
      <c r="A20" s="1" t="s">
        <v>131</v>
      </c>
      <c r="B20" s="31" t="s">
        <v>134</v>
      </c>
      <c r="C20" s="150">
        <v>0</v>
      </c>
      <c r="D20" s="151">
        <v>0</v>
      </c>
      <c r="E20" s="152">
        <v>0</v>
      </c>
      <c r="F20" s="153">
        <v>0</v>
      </c>
    </row>
    <row r="21" spans="1:6" ht="13.5" thickBot="1">
      <c r="A21" s="34"/>
      <c r="B21" s="32" t="s">
        <v>135</v>
      </c>
      <c r="C21" s="154">
        <v>0</v>
      </c>
      <c r="D21" s="155">
        <v>0</v>
      </c>
      <c r="E21" s="156">
        <v>0</v>
      </c>
      <c r="F21" s="157">
        <v>0</v>
      </c>
    </row>
    <row r="22" spans="1:6">
      <c r="A22" s="1" t="s">
        <v>132</v>
      </c>
      <c r="B22" s="31" t="s">
        <v>134</v>
      </c>
      <c r="C22" s="150">
        <v>620.6</v>
      </c>
      <c r="D22" s="151">
        <v>620.6</v>
      </c>
      <c r="E22" s="152">
        <v>0</v>
      </c>
      <c r="F22" s="153">
        <v>0</v>
      </c>
    </row>
    <row r="23" spans="1:6" ht="13.5" thickBot="1">
      <c r="A23" s="35"/>
      <c r="B23" s="37" t="s">
        <v>135</v>
      </c>
      <c r="C23" s="154">
        <v>500.4</v>
      </c>
      <c r="D23" s="155">
        <v>500.4</v>
      </c>
      <c r="E23" s="156">
        <v>0</v>
      </c>
      <c r="F23" s="157">
        <v>0</v>
      </c>
    </row>
    <row r="24" spans="1:6">
      <c r="A24" s="1" t="s">
        <v>73</v>
      </c>
      <c r="B24" s="36" t="s">
        <v>134</v>
      </c>
      <c r="C24" s="158">
        <v>450.4</v>
      </c>
      <c r="D24" s="159">
        <v>450.4</v>
      </c>
      <c r="E24" s="160">
        <v>0</v>
      </c>
      <c r="F24" s="161">
        <v>0</v>
      </c>
    </row>
    <row r="25" spans="1:6" ht="25.5">
      <c r="A25" s="1" t="s">
        <v>74</v>
      </c>
      <c r="B25" s="36" t="s">
        <v>134</v>
      </c>
      <c r="C25" s="150">
        <v>150</v>
      </c>
      <c r="D25" s="151">
        <v>150</v>
      </c>
      <c r="E25" s="152">
        <v>0</v>
      </c>
      <c r="F25" s="153">
        <v>0</v>
      </c>
    </row>
    <row r="26" spans="1:6">
      <c r="A26" s="1" t="s">
        <v>73</v>
      </c>
      <c r="B26" s="31" t="s">
        <v>135</v>
      </c>
      <c r="C26" s="162">
        <v>359.2</v>
      </c>
      <c r="D26" s="163">
        <v>359.2</v>
      </c>
      <c r="E26" s="164">
        <v>0</v>
      </c>
      <c r="F26" s="165">
        <v>0</v>
      </c>
    </row>
    <row r="27" spans="1:6" ht="26.25" thickBot="1">
      <c r="A27" s="1" t="s">
        <v>74</v>
      </c>
      <c r="B27" s="31" t="s">
        <v>135</v>
      </c>
      <c r="C27" s="166">
        <v>111</v>
      </c>
      <c r="D27" s="167">
        <v>111</v>
      </c>
      <c r="E27" s="168">
        <v>0</v>
      </c>
      <c r="F27" s="169">
        <v>0</v>
      </c>
    </row>
    <row r="28" spans="1:6">
      <c r="A28" s="116" t="s">
        <v>133</v>
      </c>
      <c r="B28" s="117" t="s">
        <v>134</v>
      </c>
      <c r="C28" s="118">
        <f>SUMIF($B$8:$B$23,$B$28,C8:C23)</f>
        <v>3733.6</v>
      </c>
      <c r="D28" s="118">
        <f>SUMIF($B$8:$B$23,$B$28,D8:D23)</f>
        <v>2502.1999999999998</v>
      </c>
      <c r="E28" s="118">
        <f>SUMIF($B$8:$B$23,$B$28,E8:E23)</f>
        <v>120.4</v>
      </c>
      <c r="F28" s="119">
        <f>SUMIF($B$8:$B$23,$B$28,F8:F23)</f>
        <v>1111</v>
      </c>
    </row>
    <row r="29" spans="1:6" ht="13.5" thickBot="1">
      <c r="A29" s="120"/>
      <c r="B29" s="121" t="s">
        <v>135</v>
      </c>
      <c r="C29" s="122">
        <f>SUMIF($B$8:$B$23,$B$29,C8:C23)</f>
        <v>2610.6</v>
      </c>
      <c r="D29" s="123">
        <f>SUMIF($B$8:$B$23,$B$29,D8:D23)</f>
        <v>1899.6</v>
      </c>
      <c r="E29" s="124">
        <f>SUMIF($B$8:$B$23,$B$29,E8:E23)</f>
        <v>0</v>
      </c>
      <c r="F29" s="125">
        <f>SUMIF($B$8:$B$23,$B$29,F8:F23)</f>
        <v>711</v>
      </c>
    </row>
    <row r="33" spans="1:7">
      <c r="A33" s="4" t="s">
        <v>277</v>
      </c>
    </row>
    <row r="35" spans="1:7">
      <c r="A35" s="24"/>
      <c r="B35" s="24"/>
      <c r="C35" s="110" t="s">
        <v>279</v>
      </c>
      <c r="D35" s="110"/>
      <c r="E35" s="110"/>
      <c r="F35" s="110"/>
      <c r="G35" s="110" t="s">
        <v>279</v>
      </c>
    </row>
    <row r="36" spans="1:7" ht="13.5" thickBot="1">
      <c r="A36" s="29" t="s">
        <v>278</v>
      </c>
      <c r="B36" s="29"/>
      <c r="C36" s="26" t="s">
        <v>113</v>
      </c>
      <c r="D36" s="26" t="s">
        <v>280</v>
      </c>
      <c r="E36" s="26" t="s">
        <v>281</v>
      </c>
      <c r="F36" s="26" t="s">
        <v>282</v>
      </c>
      <c r="G36" s="26" t="s">
        <v>112</v>
      </c>
    </row>
    <row r="37" spans="1:7">
      <c r="C37" s="111"/>
      <c r="D37" s="111"/>
      <c r="E37" s="111"/>
      <c r="F37" s="111"/>
      <c r="G37" s="111"/>
    </row>
    <row r="38" spans="1:7">
      <c r="A38" s="1" t="s">
        <v>283</v>
      </c>
      <c r="C38" s="170">
        <v>0</v>
      </c>
      <c r="D38" s="170">
        <v>0</v>
      </c>
      <c r="E38" s="170">
        <v>0</v>
      </c>
      <c r="F38" s="170">
        <v>0</v>
      </c>
      <c r="G38" s="113">
        <f>C38+D38+E38-F38</f>
        <v>0</v>
      </c>
    </row>
    <row r="39" spans="1:7" ht="25.5">
      <c r="A39" s="1" t="s">
        <v>284</v>
      </c>
      <c r="C39" s="170">
        <v>0</v>
      </c>
      <c r="D39" s="170">
        <v>0</v>
      </c>
      <c r="E39" s="170">
        <v>0</v>
      </c>
      <c r="F39" s="170">
        <v>0</v>
      </c>
      <c r="G39" s="113">
        <f>C39+D39+E39-F39</f>
        <v>0</v>
      </c>
    </row>
    <row r="40" spans="1:7">
      <c r="A40" t="s">
        <v>285</v>
      </c>
      <c r="C40" s="170"/>
      <c r="D40" s="170"/>
      <c r="E40" s="170"/>
      <c r="F40" s="170"/>
      <c r="G40" s="113">
        <f>C40+D40+E40-F40</f>
        <v>0</v>
      </c>
    </row>
    <row r="41" spans="1:7">
      <c r="A41" t="s">
        <v>285</v>
      </c>
      <c r="C41" s="170"/>
      <c r="D41" s="170"/>
      <c r="E41" s="170"/>
      <c r="F41" s="170"/>
      <c r="G41" s="113">
        <f>C41+D41+E41-F41</f>
        <v>0</v>
      </c>
    </row>
    <row r="42" spans="1:7">
      <c r="A42" t="s">
        <v>285</v>
      </c>
      <c r="C42" s="170"/>
      <c r="D42" s="170"/>
      <c r="E42" s="170"/>
      <c r="F42" s="170"/>
      <c r="G42" s="113">
        <f>C42+D42+E42-F42</f>
        <v>0</v>
      </c>
    </row>
    <row r="43" spans="1:7" ht="13.5" thickBot="1">
      <c r="A43" s="28"/>
      <c r="B43" s="28"/>
      <c r="C43" s="112"/>
      <c r="D43" s="112"/>
      <c r="E43" s="112"/>
      <c r="F43" s="112"/>
      <c r="G43" s="112"/>
    </row>
    <row r="44" spans="1:7" ht="13.5" thickBot="1">
      <c r="A44" s="114" t="s">
        <v>133</v>
      </c>
      <c r="B44" s="114"/>
      <c r="C44" s="115">
        <f>SUM(C38:C43)</f>
        <v>0</v>
      </c>
      <c r="D44" s="115">
        <f>SUM(D38:D43)</f>
        <v>0</v>
      </c>
      <c r="E44" s="115">
        <f>SUM(E38:E43)</f>
        <v>0</v>
      </c>
      <c r="F44" s="115">
        <f>SUM(F38:F43)</f>
        <v>0</v>
      </c>
      <c r="G44" s="115">
        <f>SUM(G38:G43)</f>
        <v>0</v>
      </c>
    </row>
  </sheetData>
  <mergeCells count="2">
    <mergeCell ref="D5:F5"/>
    <mergeCell ref="A1:F1"/>
  </mergeCells>
  <phoneticPr fontId="5" type="noConversion"/>
  <pageMargins left="0.59055118110236227" right="0.39370078740157483" top="0.98425196850393704" bottom="0.98425196850393704" header="0.51181102362204722" footer="0.51181102362204722"/>
  <pageSetup paperSize="9" orientation="portrait" horizontalDpi="300" verticalDpi="300" r:id="rId1"/>
  <headerFooter alignWithMargins="0">
    <oddFooter>&amp;L&amp;A&amp;C&amp;8&amp;P / &amp;N&amp;R&amp;8&amp;D</oddFooter>
  </headerFooter>
  <rowBreaks count="1" manualBreakCount="1">
    <brk id="31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/>
  <dimension ref="A1:N71"/>
  <sheetViews>
    <sheetView zoomScale="80" zoomScaleNormal="80" workbookViewId="0">
      <selection activeCell="E16" activeCellId="5" sqref="C7 E7 C10:C12 E10:E12 C16:C20 E16:E20"/>
    </sheetView>
  </sheetViews>
  <sheetFormatPr baseColWidth="10" defaultRowHeight="12.75"/>
  <cols>
    <col min="1" max="1" width="2.5703125" style="38" bestFit="1" customWidth="1"/>
    <col min="2" max="2" width="2.5703125" style="38" customWidth="1"/>
    <col min="3" max="3" width="19.140625" style="38" customWidth="1"/>
    <col min="4" max="4" width="8.7109375" bestFit="1" customWidth="1"/>
    <col min="5" max="5" width="8.7109375" customWidth="1"/>
    <col min="6" max="6" width="9.140625" bestFit="1" customWidth="1"/>
    <col min="7" max="9" width="8.7109375" bestFit="1" customWidth="1"/>
  </cols>
  <sheetData>
    <row r="1" spans="1:14" ht="18">
      <c r="A1" s="183" t="str">
        <f>"Strukturbilanz der " &amp;Aktiva!D3</f>
        <v>Strukturbilanz der Buchhaus GmbH</v>
      </c>
      <c r="B1" s="183"/>
      <c r="C1" s="183"/>
      <c r="D1" s="183"/>
      <c r="E1" s="183"/>
      <c r="F1" s="183"/>
      <c r="G1" s="183"/>
      <c r="H1" s="183"/>
      <c r="I1" s="187"/>
    </row>
    <row r="3" spans="1:14">
      <c r="A3" s="54"/>
      <c r="B3" s="54"/>
      <c r="C3" s="54"/>
      <c r="D3" s="188" t="str">
        <f>"Berichtsjahr "&amp;Aktiva!$D$4</f>
        <v>Berichtsjahr 2019</v>
      </c>
      <c r="E3" s="188"/>
      <c r="F3" s="188"/>
      <c r="G3" s="189" t="str">
        <f>"Vorjahr "&amp;Aktiva!$D$4</f>
        <v>Vorjahr 2019</v>
      </c>
      <c r="H3" s="185"/>
      <c r="I3" s="185"/>
      <c r="K3" s="38"/>
      <c r="N3" s="38"/>
    </row>
    <row r="4" spans="1:14" s="38" customFormat="1" ht="11.25">
      <c r="A4" s="54"/>
      <c r="B4" s="54"/>
      <c r="C4" s="54"/>
      <c r="D4" s="55" t="s">
        <v>141</v>
      </c>
      <c r="E4" s="55" t="s">
        <v>144</v>
      </c>
      <c r="F4" s="55" t="s">
        <v>143</v>
      </c>
      <c r="G4" s="61" t="s">
        <v>141</v>
      </c>
      <c r="H4" s="57" t="s">
        <v>144</v>
      </c>
      <c r="I4" s="57" t="s">
        <v>143</v>
      </c>
    </row>
    <row r="5" spans="1:14" s="38" customFormat="1" ht="12" thickBot="1">
      <c r="A5" s="58"/>
      <c r="B5" s="58"/>
      <c r="C5" s="58" t="s">
        <v>136</v>
      </c>
      <c r="D5" s="59" t="s">
        <v>142</v>
      </c>
      <c r="E5" s="59" t="s">
        <v>142</v>
      </c>
      <c r="F5" s="59" t="s">
        <v>142</v>
      </c>
      <c r="G5" s="62" t="s">
        <v>142</v>
      </c>
      <c r="H5" s="59" t="s">
        <v>142</v>
      </c>
      <c r="I5" s="59" t="s">
        <v>142</v>
      </c>
    </row>
    <row r="6" spans="1:14">
      <c r="G6" s="39"/>
      <c r="H6" s="13"/>
      <c r="I6" s="13"/>
    </row>
    <row r="7" spans="1:14" ht="35.25" customHeight="1">
      <c r="A7" s="41" t="s">
        <v>0</v>
      </c>
      <c r="C7" s="175" t="s">
        <v>140</v>
      </c>
      <c r="D7" s="14">
        <f>Aktiva!F9</f>
        <v>28.6</v>
      </c>
      <c r="E7" s="77">
        <f>D7*-1</f>
        <v>-28.6</v>
      </c>
      <c r="F7" s="14">
        <f>D7+E7</f>
        <v>0</v>
      </c>
      <c r="G7" s="40">
        <f>Aktiva!H9</f>
        <v>0</v>
      </c>
      <c r="H7" s="77">
        <f>G7*-1</f>
        <v>0</v>
      </c>
      <c r="I7" s="15">
        <f>G7+H7</f>
        <v>0</v>
      </c>
    </row>
    <row r="8" spans="1:14">
      <c r="D8" s="14"/>
      <c r="G8" s="40"/>
      <c r="I8" s="15"/>
    </row>
    <row r="9" spans="1:14">
      <c r="A9" s="42" t="s">
        <v>2</v>
      </c>
      <c r="C9" s="42" t="s">
        <v>3</v>
      </c>
      <c r="D9" s="14"/>
      <c r="G9" s="40"/>
      <c r="I9" s="15"/>
    </row>
    <row r="10" spans="1:14" ht="22.5">
      <c r="B10" s="43" t="s">
        <v>4</v>
      </c>
      <c r="C10" s="44" t="s">
        <v>5</v>
      </c>
      <c r="D10" s="14">
        <f>Aktiva!F15</f>
        <v>1108.4000000000001</v>
      </c>
      <c r="E10" s="141">
        <v>0</v>
      </c>
      <c r="F10" s="14">
        <f>D10+E10</f>
        <v>1108.4000000000001</v>
      </c>
      <c r="G10" s="40">
        <f>Aktiva!H15</f>
        <v>480.6</v>
      </c>
      <c r="H10" s="141">
        <v>0</v>
      </c>
      <c r="I10" s="15">
        <f>G10+H10</f>
        <v>480.6</v>
      </c>
    </row>
    <row r="11" spans="1:14">
      <c r="B11" s="43" t="s">
        <v>10</v>
      </c>
      <c r="C11" s="44" t="s">
        <v>11</v>
      </c>
      <c r="D11" s="14">
        <f>Aktiva!F20</f>
        <v>9881.6</v>
      </c>
      <c r="E11" s="141">
        <v>0</v>
      </c>
      <c r="F11" s="14">
        <f>D11+E11</f>
        <v>9881.6</v>
      </c>
      <c r="G11" s="40">
        <f>Aktiva!H20</f>
        <v>7980.5999999999995</v>
      </c>
      <c r="H11" s="141">
        <v>0</v>
      </c>
      <c r="I11" s="15">
        <f>G11+H11</f>
        <v>7980.5999999999995</v>
      </c>
    </row>
    <row r="12" spans="1:14">
      <c r="B12" s="43" t="s">
        <v>16</v>
      </c>
      <c r="C12" s="44" t="s">
        <v>17</v>
      </c>
      <c r="D12" s="71">
        <f>Aktiva!F27</f>
        <v>1541.1</v>
      </c>
      <c r="E12" s="141">
        <v>0</v>
      </c>
      <c r="F12" s="72">
        <f>D12+E12</f>
        <v>1541.1</v>
      </c>
      <c r="G12" s="73">
        <f>Aktiva!H27</f>
        <v>120.3</v>
      </c>
      <c r="H12" s="141">
        <v>0</v>
      </c>
      <c r="I12" s="71">
        <f>G12+H12</f>
        <v>120.3</v>
      </c>
    </row>
    <row r="13" spans="1:14">
      <c r="B13" s="43"/>
      <c r="C13" s="44"/>
      <c r="D13" s="14">
        <f>SUM(D10:D12)</f>
        <v>12531.1</v>
      </c>
      <c r="E13" s="14"/>
      <c r="F13" s="14">
        <f>SUM(F10:F12)</f>
        <v>12531.1</v>
      </c>
      <c r="G13" s="40">
        <f>SUM(G10:G12)</f>
        <v>8581.4999999999982</v>
      </c>
      <c r="H13" s="14"/>
      <c r="I13" s="15">
        <f>SUM(I10:I12)</f>
        <v>8581.4999999999982</v>
      </c>
    </row>
    <row r="14" spans="1:14">
      <c r="B14" s="43"/>
      <c r="C14" s="44"/>
      <c r="D14" s="14"/>
      <c r="G14" s="40"/>
      <c r="H14" s="14"/>
      <c r="I14" s="15"/>
    </row>
    <row r="15" spans="1:14" ht="12" customHeight="1">
      <c r="A15" s="42" t="s">
        <v>20</v>
      </c>
      <c r="C15" s="41" t="s">
        <v>21</v>
      </c>
      <c r="D15" s="14"/>
      <c r="G15" s="40"/>
      <c r="I15" s="15"/>
    </row>
    <row r="16" spans="1:14">
      <c r="B16" s="43" t="s">
        <v>4</v>
      </c>
      <c r="C16" s="44" t="s">
        <v>22</v>
      </c>
      <c r="D16" s="14">
        <f>Aktiva!F34</f>
        <v>1833.7</v>
      </c>
      <c r="E16" s="77">
        <f>IF(Passiva!E31&lt;&gt;0,Passiva!E31*-1,0)</f>
        <v>-80.3</v>
      </c>
      <c r="F16" s="14">
        <f>D16+E16</f>
        <v>1753.4</v>
      </c>
      <c r="G16" s="40">
        <f>Aktiva!H34</f>
        <v>1387.7</v>
      </c>
      <c r="H16" s="77">
        <f>IF(Passiva!G31&lt;&gt;0,Passiva!G31*-1,0)</f>
        <v>-30.2</v>
      </c>
      <c r="I16" s="15">
        <f>G16+H16</f>
        <v>1357.5</v>
      </c>
    </row>
    <row r="17" spans="1:11">
      <c r="B17" s="43" t="s">
        <v>10</v>
      </c>
      <c r="C17" s="44" t="s">
        <v>137</v>
      </c>
      <c r="D17" s="14"/>
      <c r="G17" s="40"/>
      <c r="I17" s="15"/>
    </row>
    <row r="18" spans="1:11">
      <c r="B18" s="43"/>
      <c r="C18" s="44" t="s">
        <v>138</v>
      </c>
      <c r="D18" s="14">
        <f>SUM(Aktiva!E36:'Aktiva'!E38)</f>
        <v>2900.2999999999997</v>
      </c>
      <c r="E18" s="141">
        <v>0</v>
      </c>
      <c r="F18" s="14">
        <f>D18+E18</f>
        <v>2900.2999999999997</v>
      </c>
      <c r="G18" s="40">
        <f>SUM(Aktiva!G36:G38)</f>
        <v>2600.6</v>
      </c>
      <c r="H18" s="141">
        <v>0</v>
      </c>
      <c r="I18" s="15">
        <f>G18+H18</f>
        <v>2600.6</v>
      </c>
    </row>
    <row r="19" spans="1:11" ht="45">
      <c r="B19" s="43"/>
      <c r="C19" s="44" t="s">
        <v>145</v>
      </c>
      <c r="D19" s="14">
        <f>Aktiva!E39+Aktiva!E47</f>
        <v>157.10000000000002</v>
      </c>
      <c r="E19" s="141">
        <v>0</v>
      </c>
      <c r="F19" s="14">
        <f>D19+E19</f>
        <v>157.10000000000002</v>
      </c>
      <c r="G19" s="40">
        <f>Aktiva!G39+Aktiva!G47</f>
        <v>176</v>
      </c>
      <c r="H19" s="141">
        <v>0</v>
      </c>
      <c r="I19" s="15">
        <f>G19+H19</f>
        <v>176</v>
      </c>
    </row>
    <row r="20" spans="1:11">
      <c r="B20" s="43"/>
      <c r="C20" s="44" t="s">
        <v>139</v>
      </c>
      <c r="D20" s="71">
        <f>Aktiva!F43+Aktiva!F45</f>
        <v>1411.3000000000002</v>
      </c>
      <c r="E20" s="141">
        <v>0</v>
      </c>
      <c r="F20" s="71">
        <f>D20+E20</f>
        <v>1411.3000000000002</v>
      </c>
      <c r="G20" s="73">
        <f>Aktiva!H43+Aktiva!H45</f>
        <v>2811.1000000000004</v>
      </c>
      <c r="H20" s="141">
        <v>0</v>
      </c>
      <c r="I20" s="71">
        <f>G20+H20</f>
        <v>2811.1000000000004</v>
      </c>
    </row>
    <row r="21" spans="1:11">
      <c r="B21" s="43"/>
      <c r="C21" s="44"/>
      <c r="D21" s="14">
        <f>SUM(D16:D20)</f>
        <v>6302.4000000000005</v>
      </c>
      <c r="E21" s="14"/>
      <c r="F21" s="14">
        <f>SUM(F16:F20)</f>
        <v>6222.1</v>
      </c>
      <c r="G21" s="40">
        <f>SUM(G16:G20)</f>
        <v>6975.4000000000005</v>
      </c>
      <c r="H21" s="14"/>
      <c r="I21" s="15">
        <f>SUM(I16:I20)</f>
        <v>6945.2000000000007</v>
      </c>
    </row>
    <row r="22" spans="1:11" ht="13.5" thickBot="1">
      <c r="A22" s="47"/>
      <c r="B22" s="47"/>
      <c r="C22" s="47"/>
      <c r="D22" s="48"/>
      <c r="E22" s="28"/>
      <c r="F22" s="28"/>
      <c r="G22" s="49"/>
      <c r="H22" s="48"/>
      <c r="I22" s="48"/>
    </row>
    <row r="23" spans="1:11">
      <c r="D23" s="14">
        <f>D7+D13+D21</f>
        <v>18862.100000000002</v>
      </c>
      <c r="E23" s="14">
        <f>SUM(E7:E20)</f>
        <v>-108.9</v>
      </c>
      <c r="F23" s="14">
        <f>F7+F13+F21</f>
        <v>18753.2</v>
      </c>
      <c r="G23" s="40">
        <f>G7+G13+G21</f>
        <v>15556.899999999998</v>
      </c>
      <c r="H23" s="15">
        <f>SUM(H7:H20)</f>
        <v>-30.2</v>
      </c>
      <c r="I23" s="15">
        <f>I7+I13+I21</f>
        <v>15526.699999999999</v>
      </c>
      <c r="K23" s="14"/>
    </row>
    <row r="24" spans="1:11">
      <c r="F24" s="14"/>
    </row>
    <row r="26" spans="1:11">
      <c r="A26" s="54"/>
      <c r="B26" s="54"/>
      <c r="C26" s="54"/>
      <c r="D26" s="188" t="str">
        <f>"Berichtsjahr "&amp;Aktiva!$D$4</f>
        <v>Berichtsjahr 2019</v>
      </c>
      <c r="E26" s="188"/>
      <c r="F26" s="188"/>
      <c r="G26" s="184" t="str">
        <f>"Vorjahr "&amp;Aktiva!$D$4</f>
        <v>Vorjahr 2019</v>
      </c>
      <c r="H26" s="185"/>
      <c r="I26" s="185"/>
    </row>
    <row r="27" spans="1:11">
      <c r="A27" s="54"/>
      <c r="B27" s="54"/>
      <c r="C27" s="54"/>
      <c r="D27" s="55" t="s">
        <v>141</v>
      </c>
      <c r="E27" s="55" t="s">
        <v>144</v>
      </c>
      <c r="F27" s="55" t="s">
        <v>143</v>
      </c>
      <c r="G27" s="56" t="s">
        <v>141</v>
      </c>
      <c r="H27" s="57" t="s">
        <v>144</v>
      </c>
      <c r="I27" s="57" t="s">
        <v>143</v>
      </c>
    </row>
    <row r="28" spans="1:11" ht="13.5" thickBot="1">
      <c r="A28" s="58"/>
      <c r="B28" s="58"/>
      <c r="C28" s="58" t="s">
        <v>146</v>
      </c>
      <c r="D28" s="59" t="s">
        <v>142</v>
      </c>
      <c r="E28" s="59" t="s">
        <v>142</v>
      </c>
      <c r="F28" s="59" t="s">
        <v>142</v>
      </c>
      <c r="G28" s="60" t="s">
        <v>142</v>
      </c>
      <c r="H28" s="59" t="s">
        <v>142</v>
      </c>
      <c r="I28" s="59" t="s">
        <v>142</v>
      </c>
    </row>
    <row r="29" spans="1:11">
      <c r="G29" s="12"/>
      <c r="H29" s="13"/>
      <c r="I29" s="13"/>
    </row>
    <row r="30" spans="1:11" ht="12" customHeight="1">
      <c r="A30" s="41" t="s">
        <v>0</v>
      </c>
      <c r="C30" s="41" t="s">
        <v>47</v>
      </c>
      <c r="D30" s="14"/>
      <c r="F30" s="14"/>
      <c r="G30" s="50"/>
      <c r="H30" s="15"/>
      <c r="I30" s="15"/>
    </row>
    <row r="31" spans="1:11" ht="12" customHeight="1">
      <c r="A31" s="41"/>
      <c r="B31" s="45" t="s">
        <v>4</v>
      </c>
      <c r="C31" s="45" t="s">
        <v>48</v>
      </c>
      <c r="D31" s="14">
        <f>Passiva!E8</f>
        <v>8000</v>
      </c>
      <c r="E31" s="141">
        <v>0</v>
      </c>
      <c r="F31" s="14">
        <f>D31+E31</f>
        <v>8000</v>
      </c>
      <c r="G31" s="50">
        <f>Passiva!G8</f>
        <v>4000</v>
      </c>
      <c r="H31" s="141">
        <v>0</v>
      </c>
      <c r="I31" s="15">
        <f>G31+H31</f>
        <v>4000</v>
      </c>
    </row>
    <row r="32" spans="1:11" ht="12" customHeight="1">
      <c r="A32" s="41"/>
      <c r="B32" s="45" t="s">
        <v>10</v>
      </c>
      <c r="C32" s="45" t="s">
        <v>49</v>
      </c>
      <c r="D32" s="14">
        <f>Passiva!E10</f>
        <v>0</v>
      </c>
      <c r="E32" s="141">
        <v>0</v>
      </c>
      <c r="F32" s="14">
        <f>D32+E32</f>
        <v>0</v>
      </c>
      <c r="G32" s="50">
        <f>Passiva!G10</f>
        <v>1600</v>
      </c>
      <c r="H32" s="141">
        <v>0</v>
      </c>
      <c r="I32" s="15">
        <f>G32+H32</f>
        <v>1600</v>
      </c>
    </row>
    <row r="33" spans="1:9" ht="12" customHeight="1">
      <c r="A33" s="41"/>
      <c r="B33" s="45" t="s">
        <v>16</v>
      </c>
      <c r="C33" s="45" t="s">
        <v>50</v>
      </c>
      <c r="D33" s="14">
        <f>SUM(Passiva!E13:E16)</f>
        <v>560.20000000000005</v>
      </c>
      <c r="E33" s="141">
        <v>0</v>
      </c>
      <c r="F33" s="14">
        <f>D33+E33</f>
        <v>560.20000000000005</v>
      </c>
      <c r="G33" s="50">
        <f>SUM(Passiva!G13:G16)</f>
        <v>1700.5</v>
      </c>
      <c r="H33" s="141">
        <v>0</v>
      </c>
      <c r="I33" s="15">
        <f>G33+H33</f>
        <v>1700.5</v>
      </c>
    </row>
    <row r="34" spans="1:9" ht="12" customHeight="1">
      <c r="A34" s="41"/>
      <c r="B34" s="45" t="s">
        <v>34</v>
      </c>
      <c r="C34" s="45" t="s">
        <v>147</v>
      </c>
      <c r="D34" s="14"/>
      <c r="F34" s="14"/>
      <c r="G34" s="50"/>
      <c r="H34" s="15"/>
      <c r="I34" s="15"/>
    </row>
    <row r="35" spans="1:9" ht="12" customHeight="1">
      <c r="A35" s="41"/>
      <c r="B35" s="45"/>
      <c r="C35" s="45" t="s">
        <v>148</v>
      </c>
      <c r="D35" s="14">
        <f>Passiva!E18</f>
        <v>0</v>
      </c>
      <c r="E35" s="141">
        <v>0</v>
      </c>
      <c r="F35" s="14">
        <f t="shared" ref="F35:F43" si="0">D35+E35</f>
        <v>0</v>
      </c>
      <c r="G35" s="50">
        <f>Passiva!G18</f>
        <v>32.200000000000003</v>
      </c>
      <c r="H35" s="141">
        <v>0</v>
      </c>
      <c r="I35" s="15">
        <f t="shared" ref="I35:I43" si="1">G35+H35</f>
        <v>32.200000000000003</v>
      </c>
    </row>
    <row r="36" spans="1:9" ht="12" customHeight="1">
      <c r="A36" s="41"/>
      <c r="B36" s="45"/>
      <c r="C36" s="45" t="s">
        <v>149</v>
      </c>
      <c r="D36" s="14">
        <f>Passiva!E20</f>
        <v>1840.6</v>
      </c>
      <c r="E36" s="141">
        <v>0</v>
      </c>
      <c r="F36" s="14">
        <f t="shared" si="0"/>
        <v>1840.6</v>
      </c>
      <c r="G36" s="50">
        <f>Passiva!G20</f>
        <v>1229.5999999999999</v>
      </c>
      <c r="H36" s="141">
        <v>0</v>
      </c>
      <c r="I36" s="15">
        <f t="shared" si="1"/>
        <v>1229.5999999999999</v>
      </c>
    </row>
    <row r="37" spans="1:9" ht="12" customHeight="1">
      <c r="A37" s="41"/>
      <c r="B37" s="45"/>
      <c r="C37" s="45" t="s">
        <v>150</v>
      </c>
      <c r="D37" s="14">
        <v>0</v>
      </c>
      <c r="E37" s="77">
        <f>E7</f>
        <v>-28.6</v>
      </c>
      <c r="F37" s="14">
        <f t="shared" si="0"/>
        <v>-28.6</v>
      </c>
      <c r="G37" s="50">
        <f>H7</f>
        <v>0</v>
      </c>
      <c r="H37" s="77">
        <f>H7</f>
        <v>0</v>
      </c>
      <c r="I37" s="15">
        <f t="shared" si="1"/>
        <v>0</v>
      </c>
    </row>
    <row r="38" spans="1:9" ht="22.5">
      <c r="A38" s="41"/>
      <c r="B38" s="45"/>
      <c r="C38" s="45" t="s">
        <v>151</v>
      </c>
      <c r="D38" s="14">
        <v>0</v>
      </c>
      <c r="E38" s="141">
        <v>-253</v>
      </c>
      <c r="F38" s="14">
        <f t="shared" si="0"/>
        <v>-253</v>
      </c>
      <c r="G38" s="50">
        <v>0</v>
      </c>
      <c r="H38" s="141">
        <v>-278</v>
      </c>
      <c r="I38" s="15">
        <f t="shared" si="1"/>
        <v>-278</v>
      </c>
    </row>
    <row r="39" spans="1:9" ht="12" customHeight="1">
      <c r="A39" s="41"/>
      <c r="B39" s="45"/>
      <c r="C39" s="45" t="s">
        <v>152</v>
      </c>
      <c r="D39" s="14">
        <v>0</v>
      </c>
      <c r="E39" s="141">
        <v>-840.6</v>
      </c>
      <c r="F39" s="14">
        <f t="shared" si="0"/>
        <v>-840.6</v>
      </c>
      <c r="G39" s="50">
        <v>0</v>
      </c>
      <c r="H39" s="141">
        <v>-2.1</v>
      </c>
      <c r="I39" s="15">
        <f t="shared" si="1"/>
        <v>-2.1</v>
      </c>
    </row>
    <row r="40" spans="1:9" ht="12" customHeight="1">
      <c r="A40" s="41"/>
      <c r="B40" s="45"/>
      <c r="C40" s="45" t="s">
        <v>159</v>
      </c>
      <c r="D40" s="14">
        <v>0</v>
      </c>
      <c r="E40" s="141">
        <v>0</v>
      </c>
      <c r="F40" s="14">
        <f t="shared" si="0"/>
        <v>0</v>
      </c>
      <c r="G40" s="50">
        <v>0</v>
      </c>
      <c r="H40" s="141">
        <v>0</v>
      </c>
      <c r="I40" s="15">
        <f t="shared" si="1"/>
        <v>0</v>
      </c>
    </row>
    <row r="41" spans="1:9" ht="12" customHeight="1">
      <c r="A41" s="41"/>
      <c r="B41" s="45"/>
      <c r="C41" s="45"/>
      <c r="D41" s="14">
        <v>0</v>
      </c>
      <c r="E41" s="141">
        <v>0</v>
      </c>
      <c r="F41" s="14">
        <f t="shared" si="0"/>
        <v>0</v>
      </c>
      <c r="G41" s="50">
        <v>0</v>
      </c>
      <c r="H41" s="141">
        <v>0</v>
      </c>
      <c r="I41" s="15">
        <f t="shared" si="1"/>
        <v>0</v>
      </c>
    </row>
    <row r="42" spans="1:9" ht="12" customHeight="1">
      <c r="A42" s="41"/>
      <c r="B42" s="45"/>
      <c r="C42" s="45"/>
      <c r="D42" s="14">
        <v>0</v>
      </c>
      <c r="E42" s="141">
        <v>0</v>
      </c>
      <c r="F42" s="14">
        <f t="shared" si="0"/>
        <v>0</v>
      </c>
      <c r="G42" s="50">
        <v>0</v>
      </c>
      <c r="H42" s="141">
        <v>0</v>
      </c>
      <c r="I42" s="15">
        <f t="shared" si="1"/>
        <v>0</v>
      </c>
    </row>
    <row r="43" spans="1:9" ht="22.5">
      <c r="A43" s="41"/>
      <c r="B43" s="45"/>
      <c r="C43" s="45" t="s">
        <v>153</v>
      </c>
      <c r="D43" s="71">
        <f>Passiva!E22</f>
        <v>1800.4</v>
      </c>
      <c r="E43" s="77">
        <f>IF(D43&lt;&gt;0,D43/2*-1,"")</f>
        <v>-900.2</v>
      </c>
      <c r="F43" s="71">
        <f t="shared" si="0"/>
        <v>900.2</v>
      </c>
      <c r="G43" s="74">
        <f>Passiva!G22</f>
        <v>1670.2</v>
      </c>
      <c r="H43" s="77">
        <f>IF(G43&lt;&gt;0,G43/2*-1,"")</f>
        <v>-835.1</v>
      </c>
      <c r="I43" s="71">
        <f t="shared" si="1"/>
        <v>835.1</v>
      </c>
    </row>
    <row r="44" spans="1:9">
      <c r="A44" s="41"/>
      <c r="B44" s="45"/>
      <c r="C44" s="45"/>
      <c r="D44" s="14">
        <f>SUM(D31:D43)</f>
        <v>12201.2</v>
      </c>
      <c r="F44" s="14">
        <f>SUM(F31:F43)</f>
        <v>10178.800000000001</v>
      </c>
      <c r="G44" s="50">
        <f>SUM(G31:G43)</f>
        <v>10232.5</v>
      </c>
      <c r="H44" s="13"/>
      <c r="I44" s="15">
        <f>SUM(I31:I43)</f>
        <v>9117.2999999999993</v>
      </c>
    </row>
    <row r="45" spans="1:9">
      <c r="B45" s="46"/>
      <c r="C45" s="46"/>
      <c r="D45" s="14"/>
      <c r="G45" s="50"/>
      <c r="H45" s="15"/>
      <c r="I45" s="15"/>
    </row>
    <row r="46" spans="1:9">
      <c r="A46" s="42" t="s">
        <v>154</v>
      </c>
      <c r="C46" s="42" t="s">
        <v>155</v>
      </c>
      <c r="D46" s="14"/>
      <c r="E46" s="172"/>
      <c r="G46" s="50"/>
      <c r="H46" s="15"/>
      <c r="I46" s="15"/>
    </row>
    <row r="47" spans="1:9" ht="12" customHeight="1">
      <c r="B47" s="43" t="s">
        <v>4</v>
      </c>
      <c r="C47" s="44" t="s">
        <v>297</v>
      </c>
      <c r="D47" s="14">
        <f>Erläuterungen!F28</f>
        <v>1111</v>
      </c>
      <c r="E47" s="141">
        <v>0</v>
      </c>
      <c r="F47" s="14">
        <f>D47+E47</f>
        <v>1111</v>
      </c>
      <c r="G47" s="50">
        <f>Erläuterungen!F29</f>
        <v>711</v>
      </c>
      <c r="H47" s="141">
        <v>0</v>
      </c>
      <c r="I47" s="15">
        <f>G47+H47</f>
        <v>711</v>
      </c>
    </row>
    <row r="48" spans="1:9" ht="33.75">
      <c r="B48" s="43"/>
      <c r="C48" s="44" t="s">
        <v>160</v>
      </c>
      <c r="D48" s="71">
        <f>Passiva!E25-D38</f>
        <v>1400.6</v>
      </c>
      <c r="E48" s="77">
        <f>E38*-1</f>
        <v>253</v>
      </c>
      <c r="F48" s="71">
        <f>D48+E48</f>
        <v>1653.6</v>
      </c>
      <c r="G48" s="74">
        <f>Passiva!G25</f>
        <v>1230.4000000000001</v>
      </c>
      <c r="H48" s="77">
        <f>H38*-1</f>
        <v>278</v>
      </c>
      <c r="I48" s="71">
        <f>G48+H48</f>
        <v>1508.4</v>
      </c>
    </row>
    <row r="49" spans="1:9">
      <c r="B49" s="43"/>
      <c r="C49" s="44"/>
      <c r="D49" s="14">
        <f>SUM(D47:D48)</f>
        <v>2511.6</v>
      </c>
      <c r="E49" s="15"/>
      <c r="F49" s="14">
        <f>SUM(F47:F48)</f>
        <v>2764.6</v>
      </c>
      <c r="G49" s="50">
        <f>SUM(G47:G48)</f>
        <v>1941.4</v>
      </c>
      <c r="H49" s="15"/>
      <c r="I49" s="15">
        <f>SUM(I47:I48)</f>
        <v>2219.4</v>
      </c>
    </row>
    <row r="50" spans="1:9">
      <c r="B50" s="43"/>
      <c r="C50" s="44"/>
      <c r="D50" s="14"/>
      <c r="E50" s="15"/>
      <c r="F50" s="14"/>
      <c r="G50" s="50"/>
      <c r="H50" s="15"/>
      <c r="I50" s="15"/>
    </row>
    <row r="51" spans="1:9" ht="12" customHeight="1">
      <c r="B51" s="43" t="s">
        <v>10</v>
      </c>
      <c r="C51" s="44" t="s">
        <v>161</v>
      </c>
      <c r="D51">
        <f>Erläuterungen!E28</f>
        <v>120.4</v>
      </c>
      <c r="E51" s="141">
        <v>0</v>
      </c>
      <c r="F51" s="14">
        <f>D51-E51</f>
        <v>120.4</v>
      </c>
      <c r="G51" s="50">
        <f>Erläuterungen!E29</f>
        <v>0</v>
      </c>
      <c r="H51" s="141">
        <v>0</v>
      </c>
      <c r="I51" s="15">
        <f>G51+H51</f>
        <v>0</v>
      </c>
    </row>
    <row r="52" spans="1:9" ht="22.5">
      <c r="B52" s="43"/>
      <c r="C52" s="44" t="s">
        <v>162</v>
      </c>
      <c r="D52" s="71">
        <v>0</v>
      </c>
      <c r="E52" s="141">
        <v>900.2</v>
      </c>
      <c r="F52" s="71">
        <f>D52+E52</f>
        <v>900.2</v>
      </c>
      <c r="G52" s="74">
        <v>0</v>
      </c>
      <c r="H52" s="141">
        <v>835.1</v>
      </c>
      <c r="I52" s="71">
        <f>G52+H52</f>
        <v>835.1</v>
      </c>
    </row>
    <row r="53" spans="1:9">
      <c r="B53" s="43"/>
      <c r="C53" s="44"/>
      <c r="D53" s="14">
        <f>SUM(D51:D52)</f>
        <v>120.4</v>
      </c>
      <c r="E53" s="44"/>
      <c r="F53" s="14">
        <f>SUM(F51:F52)</f>
        <v>1020.6</v>
      </c>
      <c r="G53" s="50">
        <f>SUM(G51:G52)</f>
        <v>0</v>
      </c>
      <c r="H53" s="44"/>
      <c r="I53" s="15">
        <f>SUM(I51:I52)</f>
        <v>835.1</v>
      </c>
    </row>
    <row r="54" spans="1:9">
      <c r="B54" s="43"/>
      <c r="C54" s="44"/>
      <c r="D54" s="14"/>
      <c r="E54" s="14"/>
      <c r="F54" s="14"/>
      <c r="G54" s="50"/>
      <c r="H54" s="44"/>
      <c r="I54" s="15"/>
    </row>
    <row r="55" spans="1:9">
      <c r="B55" s="43" t="s">
        <v>16</v>
      </c>
      <c r="C55" s="44" t="s">
        <v>156</v>
      </c>
      <c r="D55" s="14">
        <f>Erläuterungen!D28</f>
        <v>2502.1999999999998</v>
      </c>
      <c r="E55" s="141">
        <v>0</v>
      </c>
      <c r="F55" s="14">
        <f t="shared" ref="F55:F60" si="2">D55+E55</f>
        <v>2502.1999999999998</v>
      </c>
      <c r="G55" s="50">
        <f>Erläuterungen!D29</f>
        <v>1899.6</v>
      </c>
      <c r="H55" s="141">
        <v>0</v>
      </c>
      <c r="I55" s="15">
        <f t="shared" ref="I55:I60" si="3">G55+H55</f>
        <v>1899.6</v>
      </c>
    </row>
    <row r="56" spans="1:9" ht="22.5">
      <c r="B56" s="43"/>
      <c r="C56" s="44" t="s">
        <v>157</v>
      </c>
      <c r="D56" s="14">
        <v>0</v>
      </c>
      <c r="E56" s="77">
        <f>E16</f>
        <v>-80.3</v>
      </c>
      <c r="F56" s="14">
        <f t="shared" si="2"/>
        <v>-80.3</v>
      </c>
      <c r="G56" s="50">
        <v>0</v>
      </c>
      <c r="H56" s="77">
        <f>H16</f>
        <v>-30.2</v>
      </c>
      <c r="I56" s="15">
        <f t="shared" si="3"/>
        <v>-30.2</v>
      </c>
    </row>
    <row r="57" spans="1:9">
      <c r="A57" s="42"/>
      <c r="B57" s="41"/>
      <c r="C57" s="44" t="s">
        <v>152</v>
      </c>
      <c r="D57" s="14">
        <v>0</v>
      </c>
      <c r="E57" s="77">
        <f>E39*-1</f>
        <v>840.6</v>
      </c>
      <c r="F57" s="14">
        <f t="shared" si="2"/>
        <v>840.6</v>
      </c>
      <c r="G57" s="50">
        <v>0</v>
      </c>
      <c r="H57" s="77">
        <f>H39*-1</f>
        <v>2.1</v>
      </c>
      <c r="I57" s="15">
        <f t="shared" si="3"/>
        <v>2.1</v>
      </c>
    </row>
    <row r="58" spans="1:9">
      <c r="B58" s="43"/>
      <c r="C58" s="44" t="s">
        <v>60</v>
      </c>
      <c r="D58" s="14">
        <f>Passiva!E26</f>
        <v>520.4</v>
      </c>
      <c r="E58" s="141">
        <v>0</v>
      </c>
      <c r="F58" s="14">
        <f t="shared" si="2"/>
        <v>520.4</v>
      </c>
      <c r="G58" s="50">
        <f>Passiva!G26</f>
        <v>408.6</v>
      </c>
      <c r="H58" s="141">
        <v>0</v>
      </c>
      <c r="I58" s="15">
        <f t="shared" si="3"/>
        <v>408.6</v>
      </c>
    </row>
    <row r="59" spans="1:9">
      <c r="B59" s="43"/>
      <c r="C59" s="44" t="s">
        <v>61</v>
      </c>
      <c r="D59" s="14">
        <f>Passiva!E27</f>
        <v>1000.5</v>
      </c>
      <c r="E59" s="141">
        <v>0</v>
      </c>
      <c r="F59" s="14">
        <f t="shared" si="2"/>
        <v>1000.5</v>
      </c>
      <c r="G59" s="50">
        <f>Passiva!G27</f>
        <v>1070.3</v>
      </c>
      <c r="H59" s="141">
        <v>0</v>
      </c>
      <c r="I59" s="15">
        <f t="shared" si="3"/>
        <v>1070.3</v>
      </c>
    </row>
    <row r="60" spans="1:9" ht="22.5">
      <c r="B60" s="43"/>
      <c r="C60" s="44" t="s">
        <v>158</v>
      </c>
      <c r="D60" s="71">
        <f>Passiva!F40</f>
        <v>5.8</v>
      </c>
      <c r="E60" s="141">
        <v>0</v>
      </c>
      <c r="F60" s="71">
        <f t="shared" si="2"/>
        <v>5.8</v>
      </c>
      <c r="G60" s="74">
        <f>Passiva!H40</f>
        <v>4.5</v>
      </c>
      <c r="H60" s="141">
        <v>0</v>
      </c>
      <c r="I60" s="71">
        <f t="shared" si="3"/>
        <v>4.5</v>
      </c>
    </row>
    <row r="61" spans="1:9">
      <c r="B61" s="43"/>
      <c r="C61" s="44"/>
      <c r="D61" s="14">
        <f>SUM(D55:D60)</f>
        <v>4028.9</v>
      </c>
      <c r="E61" s="44"/>
      <c r="F61" s="14">
        <f>SUM(F55:F60)</f>
        <v>4789.2</v>
      </c>
      <c r="G61" s="50">
        <f>SUM(G55:G60)</f>
        <v>3383</v>
      </c>
      <c r="H61" s="44"/>
      <c r="I61" s="15">
        <f>SUM(I55:I60)</f>
        <v>3354.8999999999996</v>
      </c>
    </row>
    <row r="62" spans="1:9">
      <c r="B62" s="43"/>
      <c r="C62" s="44"/>
      <c r="D62" s="14"/>
      <c r="E62" s="44"/>
      <c r="F62" s="14"/>
      <c r="G62" s="50"/>
      <c r="H62" s="44"/>
      <c r="I62" s="15"/>
    </row>
    <row r="63" spans="1:9" ht="13.5" thickBot="1">
      <c r="B63" s="43"/>
      <c r="C63" s="44"/>
      <c r="D63" s="14"/>
      <c r="F63" s="14"/>
      <c r="G63" s="50"/>
      <c r="H63" s="15"/>
      <c r="I63" s="15"/>
    </row>
    <row r="64" spans="1:9">
      <c r="A64" s="51"/>
      <c r="B64" s="51"/>
      <c r="C64" s="51"/>
      <c r="D64" s="52">
        <f>D44+D49+D53+D61</f>
        <v>18862.100000000002</v>
      </c>
      <c r="E64" s="52">
        <f>SUM(E30:E63)</f>
        <v>-108.89999999999998</v>
      </c>
      <c r="F64" s="52">
        <f>F44+F49+F53+F61</f>
        <v>18753.2</v>
      </c>
      <c r="G64" s="53">
        <f>G44+G49+G53+G61</f>
        <v>15556.9</v>
      </c>
      <c r="H64" s="52">
        <f>SUM(H30:H63)</f>
        <v>-30.200000000000024</v>
      </c>
      <c r="I64" s="52">
        <f>I44+I49+I53+I61</f>
        <v>15526.699999999999</v>
      </c>
    </row>
    <row r="66" spans="3:6">
      <c r="C66" s="3" t="s">
        <v>215</v>
      </c>
      <c r="D66" s="14"/>
      <c r="F66" s="14"/>
    </row>
    <row r="67" spans="3:6">
      <c r="C67" s="133" t="str">
        <f>"Gesamtkapital im Jahr " &amp;Aktiva!$D$4-2</f>
        <v>Gesamtkapital im Jahr 2017</v>
      </c>
      <c r="D67" s="135"/>
      <c r="F67" s="141">
        <v>14800</v>
      </c>
    </row>
    <row r="68" spans="3:6">
      <c r="C68" s="133" t="str">
        <f>"Eigenkapital im Jahr " &amp; Aktiva!D4-2</f>
        <v>Eigenkapital im Jahr 2017</v>
      </c>
      <c r="D68" s="135"/>
      <c r="F68" s="141">
        <v>8500</v>
      </c>
    </row>
    <row r="69" spans="3:6">
      <c r="C69" s="133" t="str">
        <f>"Vorratsbestand im Jahr " &amp;Aktiva!$D$4-2</f>
        <v>Vorratsbestand im Jahr 2017</v>
      </c>
      <c r="D69" s="135"/>
      <c r="F69" s="141">
        <v>1268.3</v>
      </c>
    </row>
    <row r="70" spans="3:6">
      <c r="C70" s="133" t="str">
        <f>"Forderungen aus L+L im Jahr " &amp;Aktiva!$D$4-2</f>
        <v>Forderungen aus L+L im Jahr 2017</v>
      </c>
      <c r="D70" s="135"/>
      <c r="F70" s="141">
        <v>2510.4</v>
      </c>
    </row>
    <row r="71" spans="3:6">
      <c r="C71" s="133" t="str">
        <f>"Verbindlichkeiten aus L+L im Jahr " &amp;Aktiva!$D$4-2</f>
        <v>Verbindlichkeiten aus L+L im Jahr 2017</v>
      </c>
      <c r="D71" s="135"/>
      <c r="F71" s="141">
        <v>385</v>
      </c>
    </row>
  </sheetData>
  <mergeCells count="5">
    <mergeCell ref="A1:I1"/>
    <mergeCell ref="D26:F26"/>
    <mergeCell ref="G26:I26"/>
    <mergeCell ref="D3:F3"/>
    <mergeCell ref="G3:I3"/>
  </mergeCells>
  <phoneticPr fontId="5" type="noConversion"/>
  <pageMargins left="0.59055118110236227" right="0.39370078740157483" top="0.98425196850393704" bottom="0.98425196850393704" header="0.51181102362204722" footer="0.51181102362204722"/>
  <pageSetup paperSize="9" orientation="portrait" horizontalDpi="300" verticalDpi="300" r:id="rId1"/>
  <headerFooter alignWithMargins="0">
    <oddFooter>&amp;L&amp;A&amp;C&amp;8&amp;P / &amp;N&amp;R&amp;8&amp;D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/>
  <dimension ref="A1:H39"/>
  <sheetViews>
    <sheetView zoomScale="80" zoomScaleNormal="80" workbookViewId="0">
      <selection sqref="A1:F1"/>
    </sheetView>
  </sheetViews>
  <sheetFormatPr baseColWidth="10" defaultRowHeight="12.75"/>
  <cols>
    <col min="1" max="1" width="3.5703125" style="2" bestFit="1" customWidth="1"/>
    <col min="2" max="2" width="33" customWidth="1"/>
  </cols>
  <sheetData>
    <row r="1" spans="1:8" ht="18">
      <c r="A1" s="183" t="str">
        <f>"Struktur GUV-Rechnung der " &amp;Aktiva!D3</f>
        <v>Struktur GUV-Rechnung der Buchhaus GmbH</v>
      </c>
      <c r="B1" s="183"/>
      <c r="C1" s="183"/>
      <c r="D1" s="183"/>
      <c r="E1" s="183"/>
      <c r="F1" s="183"/>
      <c r="G1" s="90"/>
      <c r="H1" s="91"/>
    </row>
    <row r="2" spans="1:8">
      <c r="A2" s="65"/>
      <c r="B2" s="63"/>
      <c r="C2" s="63"/>
      <c r="D2" s="63"/>
      <c r="E2" s="63"/>
      <c r="F2" s="63"/>
      <c r="G2" s="63"/>
    </row>
    <row r="3" spans="1:8">
      <c r="A3" s="69"/>
      <c r="B3" s="24"/>
      <c r="C3" s="178" t="str">
        <f>"Berichtsjahr "&amp;Aktiva!$D$4</f>
        <v>Berichtsjahr 2019</v>
      </c>
      <c r="D3" s="178"/>
      <c r="E3" s="179" t="str">
        <f>"Vorjahr "&amp;Aktiva!$D$4-1</f>
        <v>Vorjahr 2018</v>
      </c>
      <c r="F3" s="180"/>
    </row>
    <row r="4" spans="1:8" ht="13.5" thickBot="1">
      <c r="A4" s="70"/>
      <c r="B4" s="29"/>
      <c r="C4" s="173" t="s">
        <v>110</v>
      </c>
      <c r="D4" s="173" t="s">
        <v>110</v>
      </c>
      <c r="E4" s="174" t="s">
        <v>110</v>
      </c>
      <c r="F4" s="173" t="s">
        <v>110</v>
      </c>
    </row>
    <row r="5" spans="1:8">
      <c r="E5" s="66"/>
      <c r="F5" s="13"/>
    </row>
    <row r="6" spans="1:8">
      <c r="A6" s="10" t="s">
        <v>6</v>
      </c>
      <c r="B6" s="9" t="s">
        <v>78</v>
      </c>
      <c r="C6" s="64">
        <f>Guv!C7</f>
        <v>21518</v>
      </c>
      <c r="E6" s="66">
        <f>Guv!E7</f>
        <v>18557.5</v>
      </c>
      <c r="F6" s="13"/>
    </row>
    <row r="7" spans="1:8" ht="38.25">
      <c r="A7" s="10" t="s">
        <v>8</v>
      </c>
      <c r="B7" s="9" t="s">
        <v>116</v>
      </c>
      <c r="C7" s="67">
        <f>Guv!C8</f>
        <v>216</v>
      </c>
      <c r="E7" s="68">
        <f>Guv!E8</f>
        <v>180.3</v>
      </c>
      <c r="F7" s="13"/>
    </row>
    <row r="8" spans="1:8">
      <c r="A8" s="10"/>
      <c r="B8" s="126" t="s">
        <v>163</v>
      </c>
      <c r="C8" s="103"/>
      <c r="D8" s="127">
        <f>SUM(C6:C7)</f>
        <v>21734</v>
      </c>
      <c r="E8" s="128"/>
      <c r="F8" s="129">
        <f>SUM(E6:E7)</f>
        <v>18737.8</v>
      </c>
    </row>
    <row r="9" spans="1:8">
      <c r="A9" s="10" t="s">
        <v>12</v>
      </c>
      <c r="B9" s="126" t="s">
        <v>79</v>
      </c>
      <c r="C9" s="127">
        <f>Guv!C9</f>
        <v>0</v>
      </c>
      <c r="D9" s="103"/>
      <c r="E9" s="130">
        <f>Guv!E9</f>
        <v>0</v>
      </c>
      <c r="F9" s="85"/>
    </row>
    <row r="10" spans="1:8">
      <c r="A10" s="10" t="s">
        <v>23</v>
      </c>
      <c r="B10" s="126" t="s">
        <v>298</v>
      </c>
      <c r="C10" s="127">
        <f>Guv!C10</f>
        <v>282.60000000000002</v>
      </c>
      <c r="D10" s="103"/>
      <c r="E10" s="130">
        <f>Guv!E10</f>
        <v>166.8</v>
      </c>
      <c r="F10" s="85"/>
    </row>
    <row r="11" spans="1:8">
      <c r="A11" s="10" t="s">
        <v>41</v>
      </c>
      <c r="B11" s="126" t="s">
        <v>81</v>
      </c>
      <c r="C11" s="131">
        <f>Guv!C12+Guv!C13</f>
        <v>-7261.2999999999993</v>
      </c>
      <c r="D11" s="103"/>
      <c r="E11" s="132">
        <f>Guv!E12+Guv!E13</f>
        <v>-6483</v>
      </c>
      <c r="F11" s="85"/>
    </row>
    <row r="12" spans="1:8">
      <c r="A12" s="10"/>
      <c r="B12" s="126" t="s">
        <v>168</v>
      </c>
      <c r="C12" s="127"/>
      <c r="D12" s="127">
        <f>SUM(C6:C11)</f>
        <v>14755.3</v>
      </c>
      <c r="E12" s="130"/>
      <c r="F12" s="129">
        <f>SUM(E6:E11)</f>
        <v>12421.599999999999</v>
      </c>
    </row>
    <row r="13" spans="1:8">
      <c r="A13" s="10" t="s">
        <v>43</v>
      </c>
      <c r="B13" s="126" t="s">
        <v>84</v>
      </c>
      <c r="C13" s="127">
        <f>Guv!C15+Guv!C16</f>
        <v>-7840</v>
      </c>
      <c r="D13" s="103"/>
      <c r="E13" s="130">
        <f>Guv!E15+Guv!E16</f>
        <v>-6468</v>
      </c>
      <c r="F13" s="85"/>
    </row>
    <row r="14" spans="1:8">
      <c r="A14" s="10" t="s">
        <v>69</v>
      </c>
      <c r="B14" s="126" t="s">
        <v>87</v>
      </c>
      <c r="C14" s="127">
        <f>Guv!C18+Guv!C19</f>
        <v>-2300</v>
      </c>
      <c r="D14" s="103"/>
      <c r="E14" s="130">
        <f>Guv!E18+Guv!E19</f>
        <v>-2173</v>
      </c>
      <c r="F14" s="85"/>
    </row>
    <row r="15" spans="1:8">
      <c r="A15" s="10" t="s">
        <v>71</v>
      </c>
      <c r="B15" s="126" t="s">
        <v>299</v>
      </c>
      <c r="C15" s="131">
        <f>Guv!C20</f>
        <v>-595.29999999999995</v>
      </c>
      <c r="D15" s="103"/>
      <c r="E15" s="132">
        <f>Guv!E20</f>
        <v>-1444.3</v>
      </c>
      <c r="F15" s="85"/>
    </row>
    <row r="16" spans="1:8">
      <c r="A16" s="10"/>
      <c r="B16" s="126" t="s">
        <v>164</v>
      </c>
      <c r="C16" s="103"/>
      <c r="D16" s="127">
        <f>SUM(C6:C15)</f>
        <v>4019.9999999999991</v>
      </c>
      <c r="E16" s="128"/>
      <c r="F16" s="129">
        <f>SUM(E6:E15)</f>
        <v>2336.2999999999984</v>
      </c>
    </row>
    <row r="17" spans="1:6">
      <c r="A17" s="10" t="s">
        <v>89</v>
      </c>
      <c r="B17" s="126" t="s">
        <v>90</v>
      </c>
      <c r="C17" s="127">
        <f>Guv!C21</f>
        <v>20.3</v>
      </c>
      <c r="D17" s="103"/>
      <c r="E17" s="130">
        <f>Guv!E21</f>
        <v>10.8</v>
      </c>
      <c r="F17" s="85"/>
    </row>
    <row r="18" spans="1:6" ht="38.25">
      <c r="A18" s="10" t="s">
        <v>91</v>
      </c>
      <c r="B18" s="126" t="s">
        <v>92</v>
      </c>
      <c r="C18" s="127">
        <f>Guv!C22</f>
        <v>0</v>
      </c>
      <c r="D18" s="103"/>
      <c r="E18" s="130">
        <f>Guv!E22</f>
        <v>0</v>
      </c>
      <c r="F18" s="85"/>
    </row>
    <row r="19" spans="1:6">
      <c r="A19" s="10" t="s">
        <v>93</v>
      </c>
      <c r="B19" s="126" t="s">
        <v>300</v>
      </c>
      <c r="C19" s="127">
        <f>Guv!C23</f>
        <v>104.2</v>
      </c>
      <c r="D19" s="103"/>
      <c r="E19" s="130">
        <f>Guv!E23</f>
        <v>148.4</v>
      </c>
      <c r="F19" s="85"/>
    </row>
    <row r="20" spans="1:6" ht="38.25">
      <c r="A20" s="10" t="s">
        <v>95</v>
      </c>
      <c r="B20" s="126" t="s">
        <v>117</v>
      </c>
      <c r="C20" s="127">
        <f>Guv!C24</f>
        <v>0</v>
      </c>
      <c r="D20" s="103"/>
      <c r="E20" s="130">
        <f>Guv!E24</f>
        <v>0</v>
      </c>
      <c r="F20" s="85"/>
    </row>
    <row r="21" spans="1:6">
      <c r="A21" s="10" t="s">
        <v>96</v>
      </c>
      <c r="B21" s="126" t="s">
        <v>97</v>
      </c>
      <c r="C21" s="131">
        <f>Guv!C26</f>
        <v>-257.39999999999998</v>
      </c>
      <c r="D21" s="103"/>
      <c r="E21" s="132">
        <f>Guv!E26</f>
        <v>-193.2</v>
      </c>
      <c r="F21" s="85"/>
    </row>
    <row r="22" spans="1:6">
      <c r="A22" s="10"/>
      <c r="B22" s="126" t="s">
        <v>303</v>
      </c>
      <c r="C22" s="103"/>
      <c r="D22" s="127">
        <f>SUM(C17:C21)</f>
        <v>-132.89999999999998</v>
      </c>
      <c r="E22" s="128"/>
      <c r="F22" s="129">
        <f>SUM(E17:E21)</f>
        <v>-33.999999999999972</v>
      </c>
    </row>
    <row r="23" spans="1:6" ht="27" customHeight="1">
      <c r="A23" s="10" t="s">
        <v>98</v>
      </c>
      <c r="B23" s="9" t="s">
        <v>295</v>
      </c>
      <c r="C23" s="127">
        <f>Guv!C25</f>
        <v>0</v>
      </c>
      <c r="D23" s="127">
        <f>C23</f>
        <v>0</v>
      </c>
      <c r="E23" s="130">
        <f>Guv!E25</f>
        <v>0</v>
      </c>
      <c r="F23" s="129">
        <f>E23</f>
        <v>0</v>
      </c>
    </row>
    <row r="24" spans="1:6" ht="25.5">
      <c r="A24" s="10" t="s">
        <v>100</v>
      </c>
      <c r="B24" s="126" t="s">
        <v>304</v>
      </c>
      <c r="C24" s="103"/>
      <c r="D24" s="127">
        <f>D16+D22+D23</f>
        <v>3887.099999999999</v>
      </c>
      <c r="E24" s="128"/>
      <c r="F24" s="129">
        <f>F16+F22+F23</f>
        <v>2302.2999999999984</v>
      </c>
    </row>
    <row r="25" spans="1:6">
      <c r="A25" s="10" t="s">
        <v>103</v>
      </c>
      <c r="B25" s="126" t="s">
        <v>301</v>
      </c>
      <c r="C25" s="127">
        <f>Guv!C28</f>
        <v>79</v>
      </c>
      <c r="D25" s="103"/>
      <c r="E25" s="130">
        <f>Guv!E28</f>
        <v>100</v>
      </c>
      <c r="F25" s="85"/>
    </row>
    <row r="26" spans="1:6">
      <c r="A26" s="10" t="s">
        <v>109</v>
      </c>
      <c r="B26" s="126" t="s">
        <v>302</v>
      </c>
      <c r="C26" s="131">
        <f>Guv!C29</f>
        <v>0</v>
      </c>
      <c r="D26" s="103"/>
      <c r="E26" s="132">
        <f>Guv!E29</f>
        <v>0</v>
      </c>
      <c r="F26" s="85"/>
    </row>
    <row r="27" spans="1:6" ht="25.5">
      <c r="A27" s="10" t="s">
        <v>105</v>
      </c>
      <c r="B27" s="126" t="s">
        <v>305</v>
      </c>
      <c r="C27" s="103"/>
      <c r="D27" s="127">
        <f>SUM(C25:C26)</f>
        <v>79</v>
      </c>
      <c r="E27" s="128"/>
      <c r="F27" s="129">
        <f>SUM(E25:E26)</f>
        <v>100</v>
      </c>
    </row>
    <row r="28" spans="1:6" ht="25.5">
      <c r="A28" s="10" t="s">
        <v>107</v>
      </c>
      <c r="B28" s="126" t="s">
        <v>106</v>
      </c>
      <c r="C28" s="127">
        <f>Guv!C31</f>
        <v>-2062.1999999999998</v>
      </c>
      <c r="D28" s="103"/>
      <c r="E28" s="130">
        <f>Guv!E31</f>
        <v>-1121</v>
      </c>
      <c r="F28" s="85"/>
    </row>
    <row r="29" spans="1:6">
      <c r="A29" s="10" t="s">
        <v>165</v>
      </c>
      <c r="B29" s="126" t="s">
        <v>108</v>
      </c>
      <c r="C29" s="131">
        <f>Guv!C32</f>
        <v>-63.3</v>
      </c>
      <c r="D29" s="103"/>
      <c r="E29" s="132">
        <f>Guv!E32</f>
        <v>-51.7</v>
      </c>
      <c r="F29" s="85"/>
    </row>
    <row r="30" spans="1:6" ht="13.5" thickBot="1">
      <c r="A30" s="10" t="s">
        <v>289</v>
      </c>
      <c r="B30" s="126" t="s">
        <v>166</v>
      </c>
      <c r="C30" s="103"/>
      <c r="D30" s="127">
        <f>SUM(C28:C29)</f>
        <v>-2125.5</v>
      </c>
      <c r="E30" s="128"/>
      <c r="F30" s="129">
        <f>SUM(E28:E29)</f>
        <v>-1172.7</v>
      </c>
    </row>
    <row r="31" spans="1:6" ht="26.25" thickBot="1">
      <c r="A31" s="10" t="s">
        <v>290</v>
      </c>
      <c r="B31" s="126" t="s">
        <v>307</v>
      </c>
      <c r="C31" s="103"/>
      <c r="D31" s="109">
        <f>D24+D27+D30</f>
        <v>1840.599999999999</v>
      </c>
      <c r="E31" s="85"/>
      <c r="F31" s="109">
        <f>F24+F27+F30</f>
        <v>1229.5999999999983</v>
      </c>
    </row>
    <row r="32" spans="1:6" ht="38.25">
      <c r="A32" s="10" t="s">
        <v>291</v>
      </c>
      <c r="B32" s="9" t="s">
        <v>288</v>
      </c>
      <c r="C32" s="127">
        <f>Guv!C33</f>
        <v>0</v>
      </c>
      <c r="D32" s="127">
        <f>C32</f>
        <v>0</v>
      </c>
      <c r="E32" s="130">
        <f>Guv!E33</f>
        <v>0</v>
      </c>
      <c r="F32" s="129">
        <f>E32</f>
        <v>0</v>
      </c>
    </row>
    <row r="33" spans="1:6" ht="38.25">
      <c r="A33" s="10" t="s">
        <v>306</v>
      </c>
      <c r="B33" s="9" t="s">
        <v>308</v>
      </c>
      <c r="D33" s="138">
        <f>D31+D32</f>
        <v>1840.599999999999</v>
      </c>
      <c r="E33" s="13"/>
      <c r="F33" s="139">
        <f>F31+F32</f>
        <v>1229.5999999999983</v>
      </c>
    </row>
    <row r="34" spans="1:6">
      <c r="A34" s="10"/>
      <c r="B34" s="9"/>
      <c r="D34" s="140"/>
      <c r="E34" s="13"/>
      <c r="F34" s="129"/>
    </row>
    <row r="35" spans="1:6">
      <c r="A35" s="10"/>
      <c r="B35" s="9"/>
      <c r="D35" s="171"/>
      <c r="E35" s="13"/>
      <c r="F35" s="129"/>
    </row>
    <row r="36" spans="1:6">
      <c r="B36" s="9" t="s">
        <v>167</v>
      </c>
      <c r="C36" s="64">
        <f>SUMIF(C6:C30,"&gt;0",C6:C30)</f>
        <v>22220.1</v>
      </c>
      <c r="E36" s="66">
        <f>SUMIF(E6:E30,"&gt;0",E6:E30)</f>
        <v>19163.8</v>
      </c>
      <c r="F36" s="13"/>
    </row>
    <row r="37" spans="1:6">
      <c r="C37" s="64">
        <f>SUMIF(C6:C30,"&lt;0",C6:C30)</f>
        <v>-20379.5</v>
      </c>
      <c r="E37" s="66">
        <f>SUMIF(E6:E30,"&lt;0",E6:E30)</f>
        <v>-17934.2</v>
      </c>
      <c r="F37" s="13"/>
    </row>
    <row r="38" spans="1:6">
      <c r="C38" s="64"/>
      <c r="E38" s="64"/>
    </row>
    <row r="39" spans="1:6">
      <c r="C39" s="64"/>
      <c r="E39" s="64"/>
    </row>
  </sheetData>
  <mergeCells count="3">
    <mergeCell ref="C3:D3"/>
    <mergeCell ref="E3:F3"/>
    <mergeCell ref="A1:F1"/>
  </mergeCells>
  <phoneticPr fontId="5" type="noConversion"/>
  <pageMargins left="0.59055118110236227" right="0.39370078740157483" top="0.98425196850393704" bottom="0.98425196850393704" header="0.51181102362204722" footer="0.51181102362204722"/>
  <pageSetup paperSize="9" orientation="portrait" horizontalDpi="300" verticalDpi="300" r:id="rId1"/>
  <headerFooter alignWithMargins="0">
    <oddFooter>&amp;L&amp;A&amp;C&amp;8&amp;P / &amp;N&amp;R&amp;8&amp;D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8"/>
  <dimension ref="A1:H82"/>
  <sheetViews>
    <sheetView zoomScale="80" zoomScaleNormal="80" workbookViewId="0">
      <selection activeCell="AB88" sqref="AB88"/>
    </sheetView>
  </sheetViews>
  <sheetFormatPr baseColWidth="10" defaultRowHeight="12.75"/>
  <cols>
    <col min="1" max="1" width="31.140625" customWidth="1"/>
    <col min="2" max="2" width="10.85546875" customWidth="1"/>
    <col min="3" max="3" width="12" customWidth="1"/>
    <col min="4" max="4" width="2.140625" bestFit="1" customWidth="1"/>
    <col min="5" max="5" width="7.7109375" customWidth="1"/>
  </cols>
  <sheetData>
    <row r="1" spans="1:8" ht="18">
      <c r="A1" s="94" t="str">
        <f>"Kennzahlen zum Vermögensaufbau für die " &amp;Aktiva!D3</f>
        <v>Kennzahlen zum Vermögensaufbau für die Buchhaus GmbH</v>
      </c>
      <c r="B1" s="93"/>
      <c r="C1" s="93"/>
      <c r="D1" s="93"/>
      <c r="E1" s="93"/>
      <c r="F1" s="93"/>
      <c r="G1" s="95"/>
      <c r="H1" s="91"/>
    </row>
    <row r="5" spans="1:8" ht="13.5" thickBot="1">
      <c r="A5" s="75" t="s">
        <v>231</v>
      </c>
      <c r="B5" s="28" t="s">
        <v>173</v>
      </c>
      <c r="C5" s="28"/>
    </row>
    <row r="6" spans="1:8">
      <c r="B6" t="s">
        <v>169</v>
      </c>
    </row>
    <row r="8" spans="1:8" ht="13.5" thickBot="1">
      <c r="A8" s="79" t="s">
        <v>112</v>
      </c>
      <c r="B8" s="48">
        <f>Strukturbilanz!F13</f>
        <v>12531.1</v>
      </c>
      <c r="C8" s="28" t="s">
        <v>174</v>
      </c>
      <c r="D8" s="190" t="s">
        <v>170</v>
      </c>
      <c r="E8" s="191">
        <f>B8/B9</f>
        <v>0.66821129193950901</v>
      </c>
    </row>
    <row r="9" spans="1:8">
      <c r="A9" s="79"/>
      <c r="B9" s="192">
        <f>Strukturbilanz!F23</f>
        <v>18753.2</v>
      </c>
      <c r="C9" s="192"/>
      <c r="D9" s="190"/>
      <c r="E9" s="191"/>
    </row>
    <row r="10" spans="1:8">
      <c r="A10" s="79"/>
    </row>
    <row r="11" spans="1:8" ht="13.5" thickBot="1">
      <c r="A11" s="79" t="s">
        <v>113</v>
      </c>
      <c r="B11" s="48">
        <f>Strukturbilanz!I13</f>
        <v>8581.4999999999982</v>
      </c>
      <c r="C11" s="28" t="s">
        <v>174</v>
      </c>
      <c r="D11" s="190" t="s">
        <v>170</v>
      </c>
      <c r="E11" s="191">
        <f>B11/B12</f>
        <v>0.55269310284864126</v>
      </c>
    </row>
    <row r="12" spans="1:8">
      <c r="B12" s="192">
        <f>Strukturbilanz!I23</f>
        <v>15526.699999999999</v>
      </c>
      <c r="C12" s="192"/>
      <c r="D12" s="190"/>
      <c r="E12" s="191"/>
    </row>
    <row r="15" spans="1:8" ht="13.5" thickBot="1">
      <c r="A15" s="75" t="s">
        <v>232</v>
      </c>
      <c r="B15" s="28" t="s">
        <v>175</v>
      </c>
      <c r="C15" s="28"/>
    </row>
    <row r="16" spans="1:8">
      <c r="B16" t="s">
        <v>169</v>
      </c>
    </row>
    <row r="18" spans="1:5" ht="13.5" thickBot="1">
      <c r="A18" s="79" t="s">
        <v>112</v>
      </c>
      <c r="B18" s="48">
        <f>Strukturbilanz!F21</f>
        <v>6222.1</v>
      </c>
      <c r="C18" s="28" t="s">
        <v>174</v>
      </c>
      <c r="D18" s="190" t="s">
        <v>170</v>
      </c>
      <c r="E18" s="191">
        <f>B18/B19</f>
        <v>0.33178870806049099</v>
      </c>
    </row>
    <row r="19" spans="1:5">
      <c r="A19" s="79"/>
      <c r="B19" s="192">
        <f>Strukturbilanz!F23</f>
        <v>18753.2</v>
      </c>
      <c r="C19" s="192"/>
      <c r="D19" s="190"/>
      <c r="E19" s="191"/>
    </row>
    <row r="20" spans="1:5">
      <c r="A20" s="79"/>
    </row>
    <row r="21" spans="1:5" ht="13.5" thickBot="1">
      <c r="A21" s="79" t="s">
        <v>113</v>
      </c>
      <c r="B21" s="48">
        <f>Strukturbilanz!I21</f>
        <v>6945.2000000000007</v>
      </c>
      <c r="C21" s="28" t="s">
        <v>174</v>
      </c>
      <c r="D21" s="190" t="s">
        <v>170</v>
      </c>
      <c r="E21" s="191">
        <f>B21/B22</f>
        <v>0.44730689715135868</v>
      </c>
    </row>
    <row r="22" spans="1:5">
      <c r="B22" s="192">
        <f>Strukturbilanz!I23</f>
        <v>15526.699999999999</v>
      </c>
      <c r="C22" s="192"/>
      <c r="D22" s="190"/>
      <c r="E22" s="191"/>
    </row>
    <row r="25" spans="1:5" ht="13.5" thickBot="1">
      <c r="A25" s="75" t="s">
        <v>233</v>
      </c>
      <c r="B25" s="28" t="s">
        <v>176</v>
      </c>
      <c r="C25" s="28"/>
    </row>
    <row r="26" spans="1:5">
      <c r="B26" t="s">
        <v>21</v>
      </c>
    </row>
    <row r="28" spans="1:5" ht="13.5" thickBot="1">
      <c r="A28" s="79" t="s">
        <v>112</v>
      </c>
      <c r="B28" s="48">
        <f>Strukturbilanz!F16</f>
        <v>1753.4</v>
      </c>
      <c r="C28" s="28" t="s">
        <v>174</v>
      </c>
      <c r="D28" s="190" t="s">
        <v>170</v>
      </c>
      <c r="E28" s="191">
        <f>B28/B29</f>
        <v>0.28180196396714935</v>
      </c>
    </row>
    <row r="29" spans="1:5">
      <c r="A29" s="79"/>
      <c r="B29" s="192">
        <f>Strukturbilanz!F21</f>
        <v>6222.1</v>
      </c>
      <c r="C29" s="192"/>
      <c r="D29" s="190"/>
      <c r="E29" s="191"/>
    </row>
    <row r="30" spans="1:5">
      <c r="A30" s="79"/>
    </row>
    <row r="31" spans="1:5" ht="13.5" thickBot="1">
      <c r="A31" s="79" t="s">
        <v>113</v>
      </c>
      <c r="B31" s="48">
        <f>Strukturbilanz!I16</f>
        <v>1357.5</v>
      </c>
      <c r="C31" s="28" t="s">
        <v>174</v>
      </c>
      <c r="D31" s="190" t="s">
        <v>170</v>
      </c>
      <c r="E31" s="191">
        <f>B31/B32</f>
        <v>0.19545873408973102</v>
      </c>
    </row>
    <row r="32" spans="1:5">
      <c r="B32" s="192">
        <f>Strukturbilanz!I21</f>
        <v>6945.2000000000007</v>
      </c>
      <c r="C32" s="192"/>
      <c r="D32" s="190"/>
      <c r="E32" s="191"/>
    </row>
    <row r="35" spans="1:6" ht="13.5" thickBot="1">
      <c r="A35" s="75" t="s">
        <v>234</v>
      </c>
      <c r="B35" s="28" t="s">
        <v>173</v>
      </c>
      <c r="C35" s="28"/>
    </row>
    <row r="36" spans="1:6">
      <c r="B36" t="s">
        <v>21</v>
      </c>
    </row>
    <row r="38" spans="1:6" ht="13.5" thickBot="1">
      <c r="A38" s="79" t="s">
        <v>112</v>
      </c>
      <c r="B38" s="48">
        <f>Strukturbilanz!F13</f>
        <v>12531.1</v>
      </c>
      <c r="C38" s="28" t="s">
        <v>174</v>
      </c>
      <c r="D38" s="190" t="s">
        <v>170</v>
      </c>
      <c r="E38" s="191">
        <f>B38/B39</f>
        <v>2.0139663457675061</v>
      </c>
    </row>
    <row r="39" spans="1:6">
      <c r="A39" s="79"/>
      <c r="B39" s="192">
        <f>Strukturbilanz!F21</f>
        <v>6222.1</v>
      </c>
      <c r="C39" s="192"/>
      <c r="D39" s="190"/>
      <c r="E39" s="191"/>
    </row>
    <row r="40" spans="1:6">
      <c r="A40" s="79"/>
    </row>
    <row r="41" spans="1:6" ht="13.5" thickBot="1">
      <c r="A41" s="79" t="s">
        <v>113</v>
      </c>
      <c r="B41" s="48">
        <f>Strukturbilanz!I13</f>
        <v>8581.4999999999982</v>
      </c>
      <c r="C41" s="28" t="s">
        <v>174</v>
      </c>
      <c r="D41" s="190" t="s">
        <v>170</v>
      </c>
      <c r="E41" s="191">
        <f>B41/B42</f>
        <v>1.235601566549559</v>
      </c>
    </row>
    <row r="42" spans="1:6">
      <c r="B42" s="192">
        <f>Strukturbilanz!I21</f>
        <v>6945.2000000000007</v>
      </c>
      <c r="C42" s="192"/>
      <c r="D42" s="190"/>
      <c r="E42" s="191"/>
    </row>
    <row r="45" spans="1:6" ht="13.5" thickBot="1">
      <c r="A45" s="75" t="s">
        <v>235</v>
      </c>
      <c r="B45" s="193" t="s">
        <v>78</v>
      </c>
      <c r="C45" s="193"/>
    </row>
    <row r="46" spans="1:6">
      <c r="B46" t="s">
        <v>178</v>
      </c>
    </row>
    <row r="48" spans="1:6" ht="13.5" thickBot="1">
      <c r="A48" s="79" t="s">
        <v>112</v>
      </c>
      <c r="B48" s="194">
        <f>'Struktur GUV'!C6</f>
        <v>21518</v>
      </c>
      <c r="C48" s="194"/>
      <c r="D48" s="190" t="s">
        <v>170</v>
      </c>
      <c r="E48" s="195">
        <f>B48/B49</f>
        <v>13.833938731556783</v>
      </c>
      <c r="F48" s="195" t="s">
        <v>183</v>
      </c>
    </row>
    <row r="49" spans="1:6">
      <c r="A49" s="79"/>
      <c r="B49" s="192">
        <f>(Strukturbilanz!F16+Strukturbilanz!I16)/2</f>
        <v>1555.45</v>
      </c>
      <c r="C49" s="192"/>
      <c r="D49" s="190"/>
      <c r="E49" s="195"/>
      <c r="F49" s="195"/>
    </row>
    <row r="50" spans="1:6">
      <c r="A50" s="79"/>
    </row>
    <row r="51" spans="1:6" ht="13.5" thickBot="1">
      <c r="A51" s="79" t="s">
        <v>113</v>
      </c>
      <c r="B51" s="194">
        <f>'Struktur GUV'!E6</f>
        <v>18557.5</v>
      </c>
      <c r="C51" s="194"/>
      <c r="D51" s="190" t="s">
        <v>170</v>
      </c>
      <c r="E51" s="195">
        <f>B51/B52</f>
        <v>14.136354980003809</v>
      </c>
      <c r="F51" s="195" t="s">
        <v>183</v>
      </c>
    </row>
    <row r="52" spans="1:6">
      <c r="B52" s="192">
        <f>(Strukturbilanz!I16+1268)/2</f>
        <v>1312.75</v>
      </c>
      <c r="C52" s="192"/>
      <c r="D52" s="190"/>
      <c r="E52" s="195"/>
      <c r="F52" s="195"/>
    </row>
    <row r="55" spans="1:6" ht="13.5" thickBot="1">
      <c r="A55" s="75" t="s">
        <v>236</v>
      </c>
      <c r="B55" s="193">
        <v>365</v>
      </c>
      <c r="C55" s="193"/>
    </row>
    <row r="56" spans="1:6" ht="25.5" customHeight="1">
      <c r="B56" s="196" t="s">
        <v>177</v>
      </c>
      <c r="C56" s="196"/>
    </row>
    <row r="58" spans="1:6" ht="13.5" thickBot="1">
      <c r="A58" s="79" t="s">
        <v>112</v>
      </c>
      <c r="B58" s="194">
        <v>365</v>
      </c>
      <c r="C58" s="194"/>
      <c r="D58" s="190" t="s">
        <v>170</v>
      </c>
      <c r="E58" s="195">
        <f>B58/B59</f>
        <v>26.384387489543641</v>
      </c>
      <c r="F58" s="195" t="s">
        <v>182</v>
      </c>
    </row>
    <row r="59" spans="1:6">
      <c r="A59" s="79"/>
      <c r="B59" s="192">
        <f>E48</f>
        <v>13.833938731556783</v>
      </c>
      <c r="C59" s="192"/>
      <c r="D59" s="190"/>
      <c r="E59" s="195"/>
      <c r="F59" s="195"/>
    </row>
    <row r="60" spans="1:6">
      <c r="A60" s="79"/>
    </row>
    <row r="61" spans="1:6" ht="13.5" thickBot="1">
      <c r="A61" s="79" t="s">
        <v>113</v>
      </c>
      <c r="B61" s="194">
        <v>365</v>
      </c>
      <c r="C61" s="194"/>
      <c r="D61" s="190" t="s">
        <v>170</v>
      </c>
      <c r="E61" s="195">
        <f>B61/B62</f>
        <v>25.819951502088106</v>
      </c>
      <c r="F61" s="195" t="s">
        <v>182</v>
      </c>
    </row>
    <row r="62" spans="1:6">
      <c r="B62" s="192">
        <f>E51</f>
        <v>14.136354980003809</v>
      </c>
      <c r="C62" s="192"/>
      <c r="D62" s="190"/>
      <c r="E62" s="195"/>
      <c r="F62" s="195"/>
    </row>
    <row r="65" spans="1:6" ht="39" thickBot="1">
      <c r="A65" s="81" t="s">
        <v>237</v>
      </c>
      <c r="B65" s="193" t="s">
        <v>180</v>
      </c>
      <c r="C65" s="193"/>
    </row>
    <row r="66" spans="1:6">
      <c r="B66" s="196" t="s">
        <v>181</v>
      </c>
      <c r="C66" s="196"/>
    </row>
    <row r="68" spans="1:6" ht="13.5" thickBot="1">
      <c r="A68" s="79" t="s">
        <v>112</v>
      </c>
      <c r="B68" s="194">
        <f>'Struktur GUV'!C6</f>
        <v>21518</v>
      </c>
      <c r="C68" s="194"/>
      <c r="D68" s="190" t="s">
        <v>170</v>
      </c>
      <c r="E68" s="195">
        <f>B68/B69</f>
        <v>7.8234470722972613</v>
      </c>
      <c r="F68" s="195" t="s">
        <v>183</v>
      </c>
    </row>
    <row r="69" spans="1:6">
      <c r="A69" s="79"/>
      <c r="B69" s="192">
        <f>(Strukturbilanz!F18+Strukturbilanz!I18)/2</f>
        <v>2750.45</v>
      </c>
      <c r="C69" s="192"/>
      <c r="D69" s="190"/>
      <c r="E69" s="195"/>
      <c r="F69" s="195"/>
    </row>
    <row r="70" spans="1:6">
      <c r="A70" s="79"/>
    </row>
    <row r="71" spans="1:6" ht="13.5" thickBot="1">
      <c r="A71" s="79" t="s">
        <v>113</v>
      </c>
      <c r="B71" s="194">
        <f>'Struktur GUV'!E6</f>
        <v>18557.5</v>
      </c>
      <c r="C71" s="194"/>
      <c r="D71" s="190" t="s">
        <v>170</v>
      </c>
      <c r="E71" s="195">
        <f>B71/B72</f>
        <v>7.2617882997456462</v>
      </c>
      <c r="F71" s="195" t="s">
        <v>183</v>
      </c>
    </row>
    <row r="72" spans="1:6">
      <c r="B72" s="192">
        <f>(Strukturbilanz!I18+Strukturbilanz!F70)/2</f>
        <v>2555.5</v>
      </c>
      <c r="C72" s="192"/>
      <c r="D72" s="190"/>
      <c r="E72" s="195"/>
      <c r="F72" s="195"/>
    </row>
    <row r="75" spans="1:6" ht="13.5" thickBot="1">
      <c r="A75" s="81" t="s">
        <v>238</v>
      </c>
      <c r="B75" s="193">
        <v>365</v>
      </c>
      <c r="C75" s="193"/>
    </row>
    <row r="76" spans="1:6" ht="37.5" customHeight="1">
      <c r="B76" s="196" t="s">
        <v>179</v>
      </c>
      <c r="C76" s="196"/>
    </row>
    <row r="78" spans="1:6" ht="13.5" thickBot="1">
      <c r="A78" s="79" t="s">
        <v>112</v>
      </c>
      <c r="B78" s="194">
        <v>365</v>
      </c>
      <c r="C78" s="194"/>
      <c r="D78" s="190" t="s">
        <v>170</v>
      </c>
      <c r="E78" s="195">
        <f>B78/B79</f>
        <v>46.654626359327068</v>
      </c>
      <c r="F78" s="195" t="s">
        <v>182</v>
      </c>
    </row>
    <row r="79" spans="1:6">
      <c r="A79" s="79"/>
      <c r="B79" s="192">
        <f>E68</f>
        <v>7.8234470722972613</v>
      </c>
      <c r="C79" s="192"/>
      <c r="D79" s="190"/>
      <c r="E79" s="195"/>
      <c r="F79" s="195"/>
    </row>
    <row r="80" spans="1:6">
      <c r="A80" s="79"/>
    </row>
    <row r="81" spans="1:6" ht="13.5" thickBot="1">
      <c r="A81" s="79" t="s">
        <v>113</v>
      </c>
      <c r="B81" s="194">
        <v>365</v>
      </c>
      <c r="C81" s="194"/>
      <c r="D81" s="190" t="s">
        <v>170</v>
      </c>
      <c r="E81" s="195">
        <f>B81/B82</f>
        <v>50.263101172032876</v>
      </c>
      <c r="F81" s="195" t="s">
        <v>182</v>
      </c>
    </row>
    <row r="82" spans="1:6">
      <c r="B82" s="192">
        <f>E71</f>
        <v>7.2617882997456462</v>
      </c>
      <c r="C82" s="192"/>
      <c r="D82" s="190"/>
      <c r="E82" s="195"/>
      <c r="F82" s="195"/>
    </row>
  </sheetData>
  <mergeCells count="71">
    <mergeCell ref="F81:F82"/>
    <mergeCell ref="F58:F59"/>
    <mergeCell ref="F61:F62"/>
    <mergeCell ref="F48:F49"/>
    <mergeCell ref="F51:F52"/>
    <mergeCell ref="F68:F69"/>
    <mergeCell ref="F71:F72"/>
    <mergeCell ref="F78:F79"/>
    <mergeCell ref="E78:E79"/>
    <mergeCell ref="B79:C79"/>
    <mergeCell ref="B81:C81"/>
    <mergeCell ref="D81:D82"/>
    <mergeCell ref="E81:E82"/>
    <mergeCell ref="B82:C82"/>
    <mergeCell ref="E68:E69"/>
    <mergeCell ref="B69:C69"/>
    <mergeCell ref="B71:C71"/>
    <mergeCell ref="D71:D72"/>
    <mergeCell ref="E71:E72"/>
    <mergeCell ref="B75:C75"/>
    <mergeCell ref="B76:C76"/>
    <mergeCell ref="B78:C78"/>
    <mergeCell ref="D78:D79"/>
    <mergeCell ref="D68:D69"/>
    <mergeCell ref="B72:C72"/>
    <mergeCell ref="B56:C56"/>
    <mergeCell ref="B65:C65"/>
    <mergeCell ref="B66:C66"/>
    <mergeCell ref="B68:C68"/>
    <mergeCell ref="B61:C61"/>
    <mergeCell ref="D61:D62"/>
    <mergeCell ref="E61:E62"/>
    <mergeCell ref="B62:C62"/>
    <mergeCell ref="B58:C58"/>
    <mergeCell ref="D58:D59"/>
    <mergeCell ref="E58:E59"/>
    <mergeCell ref="B59:C59"/>
    <mergeCell ref="E48:E49"/>
    <mergeCell ref="B49:C49"/>
    <mergeCell ref="D51:D52"/>
    <mergeCell ref="E51:E52"/>
    <mergeCell ref="B52:C52"/>
    <mergeCell ref="B45:C45"/>
    <mergeCell ref="B48:C48"/>
    <mergeCell ref="B51:C51"/>
    <mergeCell ref="B55:C55"/>
    <mergeCell ref="D48:D49"/>
    <mergeCell ref="B12:C12"/>
    <mergeCell ref="B9:C9"/>
    <mergeCell ref="D18:D19"/>
    <mergeCell ref="E18:E19"/>
    <mergeCell ref="B19:C19"/>
    <mergeCell ref="D8:D9"/>
    <mergeCell ref="D11:D12"/>
    <mergeCell ref="E8:E9"/>
    <mergeCell ref="E11:E12"/>
    <mergeCell ref="D21:D22"/>
    <mergeCell ref="E21:E22"/>
    <mergeCell ref="B22:C22"/>
    <mergeCell ref="D28:D29"/>
    <mergeCell ref="E28:E29"/>
    <mergeCell ref="B29:C29"/>
    <mergeCell ref="D41:D42"/>
    <mergeCell ref="E41:E42"/>
    <mergeCell ref="B42:C42"/>
    <mergeCell ref="D31:D32"/>
    <mergeCell ref="E31:E32"/>
    <mergeCell ref="B32:C32"/>
    <mergeCell ref="D38:D39"/>
    <mergeCell ref="E38:E39"/>
    <mergeCell ref="B39:C39"/>
  </mergeCells>
  <phoneticPr fontId="5" type="noConversion"/>
  <pageMargins left="0.59055118110236227" right="0.39370078740157483" top="0.98425196850393704" bottom="0.98425196850393704" header="0.51181102362204722" footer="0.51181102362204722"/>
  <pageSetup paperSize="9" orientation="portrait" horizontalDpi="300" verticalDpi="300" r:id="rId1"/>
  <headerFooter alignWithMargins="0">
    <oddFooter>&amp;L&amp;A&amp;C&amp;8&amp;P / &amp;N&amp;R&amp;8&amp;D</oddFooter>
  </headerFooter>
  <rowBreaks count="1" manualBreakCount="1">
    <brk id="54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1"/>
  <dimension ref="A1:H83"/>
  <sheetViews>
    <sheetView zoomScale="80" zoomScaleNormal="80" workbookViewId="0">
      <selection activeCell="W53" sqref="W53"/>
    </sheetView>
  </sheetViews>
  <sheetFormatPr baseColWidth="10" defaultRowHeight="12.75"/>
  <cols>
    <col min="1" max="1" width="31.140625" customWidth="1"/>
    <col min="2" max="2" width="16" customWidth="1"/>
    <col min="3" max="3" width="12" customWidth="1"/>
    <col min="4" max="4" width="2.140625" bestFit="1" customWidth="1"/>
    <col min="5" max="5" width="7.7109375" customWidth="1"/>
  </cols>
  <sheetData>
    <row r="1" spans="1:8" ht="18">
      <c r="A1" s="94" t="str">
        <f>"Kennzahlen zum Wachstum für die " &amp;Aktiva!D3</f>
        <v>Kennzahlen zum Wachstum für die Buchhaus GmbH</v>
      </c>
      <c r="B1" s="93"/>
      <c r="C1" s="93"/>
      <c r="D1" s="93"/>
      <c r="E1" s="93"/>
      <c r="F1" s="93"/>
      <c r="G1" s="91"/>
      <c r="H1" s="91"/>
    </row>
    <row r="5" spans="1:8" ht="13.5" thickBot="1">
      <c r="A5" s="81" t="s">
        <v>271</v>
      </c>
      <c r="B5" s="34" t="s">
        <v>216</v>
      </c>
      <c r="C5" s="28" t="s">
        <v>174</v>
      </c>
    </row>
    <row r="6" spans="1:8">
      <c r="B6" t="s">
        <v>219</v>
      </c>
    </row>
    <row r="8" spans="1:8" ht="13.5" thickBot="1">
      <c r="A8" s="79" t="s">
        <v>112</v>
      </c>
      <c r="B8" s="48">
        <f>'Struktur GUV'!C6-'Struktur GUV'!E6</f>
        <v>2960.5</v>
      </c>
      <c r="C8" s="28" t="s">
        <v>174</v>
      </c>
      <c r="D8" s="190" t="s">
        <v>170</v>
      </c>
      <c r="E8" s="191">
        <f>B8/B9</f>
        <v>0.15953118685167722</v>
      </c>
    </row>
    <row r="9" spans="1:8">
      <c r="A9" s="79"/>
      <c r="B9" s="192">
        <f>'Struktur GUV'!E6</f>
        <v>18557.5</v>
      </c>
      <c r="C9" s="192"/>
      <c r="D9" s="190"/>
      <c r="E9" s="191"/>
    </row>
    <row r="10" spans="1:8">
      <c r="A10" s="79"/>
    </row>
    <row r="11" spans="1:8">
      <c r="A11" s="79" t="s">
        <v>113</v>
      </c>
      <c r="B11" s="19" t="s">
        <v>202</v>
      </c>
      <c r="C11" s="85"/>
      <c r="D11" s="197"/>
      <c r="E11" s="198"/>
    </row>
    <row r="12" spans="1:8">
      <c r="B12" s="199"/>
      <c r="C12" s="199"/>
      <c r="D12" s="197"/>
      <c r="E12" s="198"/>
    </row>
    <row r="13" spans="1:8">
      <c r="B13" s="88"/>
      <c r="C13" s="88"/>
      <c r="D13" s="89"/>
      <c r="E13" s="87"/>
    </row>
    <row r="14" spans="1:8">
      <c r="B14" s="82"/>
      <c r="C14" s="82"/>
      <c r="D14" s="76"/>
      <c r="E14" s="80"/>
    </row>
    <row r="15" spans="1:8" ht="26.25" thickBot="1">
      <c r="A15" s="81" t="s">
        <v>272</v>
      </c>
      <c r="B15" s="34" t="s">
        <v>217</v>
      </c>
      <c r="C15" s="28" t="s">
        <v>174</v>
      </c>
    </row>
    <row r="16" spans="1:8">
      <c r="B16" t="s">
        <v>218</v>
      </c>
    </row>
    <row r="18" spans="1:5" ht="13.5" thickBot="1">
      <c r="A18" s="79" t="s">
        <v>112</v>
      </c>
      <c r="B18" s="48">
        <f>'Struktur GUV'!D16-'Struktur GUV'!F16</f>
        <v>1683.7000000000007</v>
      </c>
      <c r="C18" s="28" t="s">
        <v>174</v>
      </c>
      <c r="D18" s="190" t="s">
        <v>170</v>
      </c>
      <c r="E18" s="191">
        <f>B18/B19</f>
        <v>0.72066943457603982</v>
      </c>
    </row>
    <row r="19" spans="1:5">
      <c r="A19" s="79"/>
      <c r="B19" s="192">
        <f>'Struktur GUV'!F16</f>
        <v>2336.2999999999984</v>
      </c>
      <c r="C19" s="192"/>
      <c r="D19" s="190"/>
      <c r="E19" s="191"/>
    </row>
    <row r="20" spans="1:5">
      <c r="A20" s="79"/>
    </row>
    <row r="21" spans="1:5">
      <c r="A21" s="79" t="s">
        <v>113</v>
      </c>
      <c r="B21" s="19" t="s">
        <v>202</v>
      </c>
      <c r="C21" s="85"/>
      <c r="D21" s="197"/>
      <c r="E21" s="198"/>
    </row>
    <row r="22" spans="1:5">
      <c r="B22" s="199"/>
      <c r="C22" s="199"/>
      <c r="D22" s="197"/>
      <c r="E22" s="198"/>
    </row>
    <row r="23" spans="1:5">
      <c r="B23" s="82"/>
      <c r="C23" s="82"/>
      <c r="D23" s="76"/>
      <c r="E23" s="80"/>
    </row>
    <row r="24" spans="1:5">
      <c r="B24" s="82"/>
      <c r="C24" s="82"/>
      <c r="D24" s="76"/>
      <c r="E24" s="80"/>
    </row>
    <row r="25" spans="1:5" ht="26.25" thickBot="1">
      <c r="A25" s="75" t="s">
        <v>309</v>
      </c>
      <c r="B25" s="34" t="s">
        <v>220</v>
      </c>
      <c r="C25" s="28" t="s">
        <v>174</v>
      </c>
    </row>
    <row r="26" spans="1:5">
      <c r="B26" t="s">
        <v>221</v>
      </c>
    </row>
    <row r="28" spans="1:5" ht="13.5" thickBot="1">
      <c r="A28" s="79" t="s">
        <v>112</v>
      </c>
      <c r="B28" s="48">
        <f>Strukturbilanz!F64-Strukturbilanz!I64</f>
        <v>3226.5000000000018</v>
      </c>
      <c r="C28" s="28" t="s">
        <v>174</v>
      </c>
      <c r="D28" s="190" t="s">
        <v>170</v>
      </c>
      <c r="E28" s="191">
        <f>B28/B29</f>
        <v>0.20780333232431888</v>
      </c>
    </row>
    <row r="29" spans="1:5">
      <c r="A29" s="79"/>
      <c r="B29" s="192">
        <f>Strukturbilanz!I64</f>
        <v>15526.699999999999</v>
      </c>
      <c r="C29" s="192"/>
      <c r="D29" s="190"/>
      <c r="E29" s="191"/>
    </row>
    <row r="30" spans="1:5">
      <c r="A30" s="79"/>
    </row>
    <row r="31" spans="1:5">
      <c r="A31" s="79" t="s">
        <v>113</v>
      </c>
      <c r="B31" s="19" t="s">
        <v>202</v>
      </c>
      <c r="C31" s="85"/>
      <c r="D31" s="197"/>
      <c r="E31" s="198"/>
    </row>
    <row r="32" spans="1:5">
      <c r="B32" s="199"/>
      <c r="C32" s="199"/>
      <c r="D32" s="197"/>
      <c r="E32" s="198"/>
    </row>
    <row r="33" spans="1:5">
      <c r="B33" s="82"/>
      <c r="C33" s="82"/>
      <c r="D33" s="76"/>
      <c r="E33" s="80"/>
    </row>
    <row r="34" spans="1:5">
      <c r="B34" s="82"/>
      <c r="C34" s="82"/>
      <c r="D34" s="76"/>
      <c r="E34" s="80"/>
    </row>
    <row r="35" spans="1:5" ht="13.5" thickBot="1">
      <c r="A35" s="75" t="s">
        <v>310</v>
      </c>
      <c r="B35" s="34" t="s">
        <v>222</v>
      </c>
      <c r="C35" s="28" t="s">
        <v>174</v>
      </c>
    </row>
    <row r="36" spans="1:5">
      <c r="B36" t="s">
        <v>223</v>
      </c>
    </row>
    <row r="38" spans="1:5" ht="13.5" thickBot="1">
      <c r="A38" s="79" t="s">
        <v>112</v>
      </c>
      <c r="B38" s="48">
        <f>Strukturbilanz!F44-Strukturbilanz!I44</f>
        <v>1061.5000000000018</v>
      </c>
      <c r="C38" s="28" t="s">
        <v>174</v>
      </c>
      <c r="D38" s="190" t="s">
        <v>170</v>
      </c>
      <c r="E38" s="191">
        <f>B38/B39</f>
        <v>0.11642701238305221</v>
      </c>
    </row>
    <row r="39" spans="1:5">
      <c r="A39" s="79"/>
      <c r="B39" s="192">
        <f>Strukturbilanz!I44</f>
        <v>9117.2999999999993</v>
      </c>
      <c r="C39" s="192"/>
      <c r="D39" s="190"/>
      <c r="E39" s="191"/>
    </row>
    <row r="40" spans="1:5">
      <c r="A40" s="79"/>
    </row>
    <row r="41" spans="1:5">
      <c r="A41" s="79" t="s">
        <v>113</v>
      </c>
      <c r="B41" s="19" t="s">
        <v>202</v>
      </c>
      <c r="C41" s="85"/>
      <c r="D41" s="197"/>
      <c r="E41" s="198"/>
    </row>
    <row r="42" spans="1:5">
      <c r="B42" s="199"/>
      <c r="C42" s="199"/>
      <c r="D42" s="197"/>
      <c r="E42" s="198"/>
    </row>
    <row r="43" spans="1:5">
      <c r="B43" s="82"/>
      <c r="C43" s="82"/>
      <c r="D43" s="76"/>
      <c r="E43" s="80"/>
    </row>
    <row r="44" spans="1:5">
      <c r="B44" s="82"/>
      <c r="C44" s="82"/>
      <c r="D44" s="76"/>
      <c r="E44" s="80"/>
    </row>
    <row r="45" spans="1:5" ht="13.5" thickBot="1">
      <c r="A45" s="81" t="s">
        <v>273</v>
      </c>
      <c r="B45" s="34" t="s">
        <v>224</v>
      </c>
      <c r="C45" s="28" t="s">
        <v>174</v>
      </c>
    </row>
    <row r="46" spans="1:5">
      <c r="B46" t="s">
        <v>225</v>
      </c>
    </row>
    <row r="48" spans="1:5" ht="13.5" thickBot="1">
      <c r="A48" s="79" t="s">
        <v>112</v>
      </c>
      <c r="B48" s="48">
        <f>Strukturbilanz!F49+Strukturbilanz!F53+Strukturbilanz!F61-Strukturbilanz!I49-Strukturbilanz!I53-Strukturbilanz!I61</f>
        <v>2165</v>
      </c>
      <c r="C48" s="28" t="s">
        <v>174</v>
      </c>
      <c r="D48" s="190" t="s">
        <v>170</v>
      </c>
      <c r="E48" s="191">
        <f>B48/B49</f>
        <v>0.33778512809311328</v>
      </c>
    </row>
    <row r="49" spans="1:5">
      <c r="A49" s="79"/>
      <c r="B49" s="192">
        <f>Strukturbilanz!I49+Strukturbilanz!I53+Strukturbilanz!I61</f>
        <v>6409.4</v>
      </c>
      <c r="C49" s="192"/>
      <c r="D49" s="190"/>
      <c r="E49" s="191"/>
    </row>
    <row r="50" spans="1:5">
      <c r="A50" s="79"/>
    </row>
    <row r="51" spans="1:5">
      <c r="A51" s="79" t="s">
        <v>113</v>
      </c>
      <c r="B51" s="19" t="s">
        <v>202</v>
      </c>
      <c r="C51" s="85"/>
      <c r="D51" s="197"/>
      <c r="E51" s="198"/>
    </row>
    <row r="52" spans="1:5">
      <c r="B52" s="199"/>
      <c r="C52" s="199"/>
      <c r="D52" s="197"/>
      <c r="E52" s="198"/>
    </row>
    <row r="53" spans="1:5">
      <c r="B53" s="82"/>
      <c r="C53" s="82"/>
      <c r="D53" s="76"/>
      <c r="E53" s="80"/>
    </row>
    <row r="54" spans="1:5">
      <c r="B54" s="82"/>
      <c r="C54" s="82"/>
      <c r="D54" s="76"/>
      <c r="E54" s="80"/>
    </row>
    <row r="55" spans="1:5" ht="13.5" thickBot="1">
      <c r="A55" s="75" t="s">
        <v>274</v>
      </c>
      <c r="B55" s="48" t="s">
        <v>226</v>
      </c>
      <c r="C55" s="28" t="s">
        <v>174</v>
      </c>
    </row>
    <row r="56" spans="1:5">
      <c r="B56" t="s">
        <v>227</v>
      </c>
    </row>
    <row r="58" spans="1:5" ht="13.5" thickBot="1">
      <c r="A58" s="79" t="s">
        <v>112</v>
      </c>
      <c r="B58" s="48">
        <f>Strukturbilanz!F13-Strukturbilanz!I13</f>
        <v>3949.6000000000022</v>
      </c>
      <c r="C58" s="28" t="s">
        <v>174</v>
      </c>
      <c r="D58" s="190" t="s">
        <v>170</v>
      </c>
      <c r="E58" s="191">
        <f>B58/B59</f>
        <v>0.46024587776029868</v>
      </c>
    </row>
    <row r="59" spans="1:5">
      <c r="A59" s="79"/>
      <c r="B59" s="192">
        <f>Strukturbilanz!I13</f>
        <v>8581.4999999999982</v>
      </c>
      <c r="C59" s="192"/>
      <c r="D59" s="190"/>
      <c r="E59" s="191"/>
    </row>
    <row r="60" spans="1:5">
      <c r="A60" s="79"/>
    </row>
    <row r="61" spans="1:5">
      <c r="A61" s="79" t="s">
        <v>113</v>
      </c>
      <c r="B61" s="19" t="s">
        <v>202</v>
      </c>
      <c r="C61" s="85"/>
      <c r="D61" s="197"/>
      <c r="E61" s="198"/>
    </row>
    <row r="62" spans="1:5">
      <c r="B62" s="199"/>
      <c r="C62" s="199"/>
      <c r="D62" s="197"/>
      <c r="E62" s="198"/>
    </row>
    <row r="63" spans="1:5">
      <c r="B63" s="82"/>
      <c r="C63" s="82"/>
      <c r="D63" s="76"/>
      <c r="E63" s="80"/>
    </row>
    <row r="64" spans="1:5">
      <c r="B64" s="82"/>
      <c r="C64" s="82"/>
      <c r="D64" s="76"/>
      <c r="E64" s="80"/>
    </row>
    <row r="65" spans="1:5" ht="13.5" thickBot="1">
      <c r="A65" s="75" t="s">
        <v>275</v>
      </c>
      <c r="B65" s="28" t="s">
        <v>228</v>
      </c>
      <c r="C65" s="28" t="s">
        <v>174</v>
      </c>
    </row>
    <row r="66" spans="1:5">
      <c r="B66" t="s">
        <v>229</v>
      </c>
    </row>
    <row r="68" spans="1:5" ht="13.5" thickBot="1">
      <c r="A68" s="79" t="s">
        <v>112</v>
      </c>
      <c r="B68" s="48">
        <f>Strukturbilanz!F21-Strukturbilanz!I21</f>
        <v>-723.10000000000036</v>
      </c>
      <c r="C68" s="28" t="s">
        <v>174</v>
      </c>
      <c r="D68" s="190" t="s">
        <v>170</v>
      </c>
      <c r="E68" s="191">
        <f>B68/B69</f>
        <v>-0.10411507228013596</v>
      </c>
    </row>
    <row r="69" spans="1:5">
      <c r="A69" s="79"/>
      <c r="B69" s="192">
        <f>Strukturbilanz!I21</f>
        <v>6945.2000000000007</v>
      </c>
      <c r="C69" s="192"/>
      <c r="D69" s="190"/>
      <c r="E69" s="191"/>
    </row>
    <row r="70" spans="1:5">
      <c r="A70" s="79"/>
    </row>
    <row r="71" spans="1:5">
      <c r="A71" s="79" t="s">
        <v>113</v>
      </c>
      <c r="B71" s="19" t="s">
        <v>202</v>
      </c>
      <c r="C71" s="85"/>
      <c r="D71" s="197"/>
      <c r="E71" s="198"/>
    </row>
    <row r="72" spans="1:5">
      <c r="B72" s="199"/>
      <c r="C72" s="199"/>
      <c r="D72" s="197"/>
      <c r="E72" s="198"/>
    </row>
    <row r="73" spans="1:5">
      <c r="B73" s="82"/>
      <c r="C73" s="82"/>
      <c r="D73" s="76"/>
      <c r="E73" s="80"/>
    </row>
    <row r="74" spans="1:5">
      <c r="B74" s="82"/>
      <c r="C74" s="82"/>
      <c r="D74" s="76"/>
      <c r="E74" s="80"/>
    </row>
    <row r="75" spans="1:5" ht="13.5" thickBot="1">
      <c r="A75" s="75" t="s">
        <v>276</v>
      </c>
      <c r="B75" s="28" t="s">
        <v>47</v>
      </c>
      <c r="C75" s="28" t="s">
        <v>174</v>
      </c>
    </row>
    <row r="76" spans="1:5">
      <c r="B76" t="s">
        <v>184</v>
      </c>
    </row>
    <row r="78" spans="1:5" ht="13.5" thickBot="1">
      <c r="A78" s="79" t="s">
        <v>112</v>
      </c>
      <c r="B78" s="48">
        <f>Strukturbilanz!F44</f>
        <v>10178.800000000001</v>
      </c>
      <c r="C78" s="28" t="s">
        <v>174</v>
      </c>
      <c r="D78" s="190" t="s">
        <v>170</v>
      </c>
      <c r="E78" s="191">
        <f>B78/B79</f>
        <v>0.5427766994432951</v>
      </c>
    </row>
    <row r="79" spans="1:5">
      <c r="A79" s="79"/>
      <c r="B79" s="192">
        <f>Strukturbilanz!F64</f>
        <v>18753.2</v>
      </c>
      <c r="C79" s="192"/>
      <c r="D79" s="190"/>
      <c r="E79" s="191"/>
    </row>
    <row r="80" spans="1:5">
      <c r="A80" s="79"/>
    </row>
    <row r="81" spans="1:5" ht="13.5" thickBot="1">
      <c r="A81" s="79" t="s">
        <v>113</v>
      </c>
      <c r="B81" s="48">
        <f>Strukturbilanz!I44</f>
        <v>9117.2999999999993</v>
      </c>
      <c r="C81" s="28" t="s">
        <v>174</v>
      </c>
      <c r="D81" s="190" t="s">
        <v>170</v>
      </c>
      <c r="E81" s="191">
        <f>B81/B82</f>
        <v>0.5872014014568453</v>
      </c>
    </row>
    <row r="82" spans="1:5">
      <c r="B82" s="192">
        <f>Strukturbilanz!I64</f>
        <v>15526.699999999999</v>
      </c>
      <c r="C82" s="192"/>
      <c r="D82" s="190"/>
      <c r="E82" s="191"/>
    </row>
    <row r="83" spans="1:5">
      <c r="B83" s="82"/>
      <c r="C83" s="82"/>
      <c r="D83" s="76"/>
      <c r="E83" s="80"/>
    </row>
  </sheetData>
  <mergeCells count="48">
    <mergeCell ref="D8:D9"/>
    <mergeCell ref="E8:E9"/>
    <mergeCell ref="B9:C9"/>
    <mergeCell ref="D11:D12"/>
    <mergeCell ref="E11:E12"/>
    <mergeCell ref="B12:C12"/>
    <mergeCell ref="D18:D19"/>
    <mergeCell ref="E18:E19"/>
    <mergeCell ref="B19:C19"/>
    <mergeCell ref="D21:D22"/>
    <mergeCell ref="E21:E22"/>
    <mergeCell ref="B22:C22"/>
    <mergeCell ref="D28:D29"/>
    <mergeCell ref="E28:E29"/>
    <mergeCell ref="B29:C29"/>
    <mergeCell ref="D31:D32"/>
    <mergeCell ref="E31:E32"/>
    <mergeCell ref="B32:C32"/>
    <mergeCell ref="D38:D39"/>
    <mergeCell ref="E38:E39"/>
    <mergeCell ref="B39:C39"/>
    <mergeCell ref="D41:D42"/>
    <mergeCell ref="E41:E42"/>
    <mergeCell ref="B42:C42"/>
    <mergeCell ref="D48:D49"/>
    <mergeCell ref="E48:E49"/>
    <mergeCell ref="B49:C49"/>
    <mergeCell ref="D51:D52"/>
    <mergeCell ref="E51:E52"/>
    <mergeCell ref="B52:C52"/>
    <mergeCell ref="D58:D59"/>
    <mergeCell ref="E58:E59"/>
    <mergeCell ref="B59:C59"/>
    <mergeCell ref="D61:D62"/>
    <mergeCell ref="E61:E62"/>
    <mergeCell ref="B62:C62"/>
    <mergeCell ref="D68:D69"/>
    <mergeCell ref="E68:E69"/>
    <mergeCell ref="B69:C69"/>
    <mergeCell ref="D71:D72"/>
    <mergeCell ref="E71:E72"/>
    <mergeCell ref="B72:C72"/>
    <mergeCell ref="D78:D79"/>
    <mergeCell ref="E78:E79"/>
    <mergeCell ref="B79:C79"/>
    <mergeCell ref="D81:D82"/>
    <mergeCell ref="E81:E82"/>
    <mergeCell ref="B82:C82"/>
  </mergeCells>
  <phoneticPr fontId="5" type="noConversion"/>
  <pageMargins left="0.59055118110236227" right="0.39370078740157483" top="0.98425196850393704" bottom="0.98425196850393704" header="0.51181102362204722" footer="0.51181102362204722"/>
  <pageSetup paperSize="9" orientation="portrait" horizontalDpi="300" verticalDpi="300" r:id="rId1"/>
  <headerFooter alignWithMargins="0">
    <oddFooter>&amp;L&amp;A&amp;C&amp;8&amp;P / &amp;N&amp;R&amp;8&amp;D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7"/>
  <dimension ref="A1:H144"/>
  <sheetViews>
    <sheetView zoomScaleNormal="100" workbookViewId="0">
      <selection activeCell="B8" sqref="B8"/>
    </sheetView>
  </sheetViews>
  <sheetFormatPr baseColWidth="10" defaultRowHeight="12.75"/>
  <cols>
    <col min="1" max="1" width="31.140625" customWidth="1"/>
    <col min="2" max="2" width="14.28515625" customWidth="1"/>
    <col min="3" max="3" width="12" customWidth="1"/>
    <col min="4" max="4" width="2.140625" bestFit="1" customWidth="1"/>
    <col min="5" max="5" width="7.7109375" customWidth="1"/>
  </cols>
  <sheetData>
    <row r="1" spans="1:8" ht="18">
      <c r="A1" s="94" t="str">
        <f>"Kennzahlen zur Kapitalstruktur für die " &amp;Aktiva!D3</f>
        <v>Kennzahlen zur Kapitalstruktur für die Buchhaus GmbH</v>
      </c>
      <c r="B1" s="93"/>
      <c r="C1" s="93"/>
      <c r="D1" s="93"/>
      <c r="E1" s="93"/>
      <c r="F1" s="93"/>
      <c r="G1" s="91"/>
      <c r="H1" s="91"/>
    </row>
    <row r="5" spans="1:8" ht="13.5" thickBot="1">
      <c r="A5" s="75" t="s">
        <v>239</v>
      </c>
      <c r="B5" s="28" t="s">
        <v>47</v>
      </c>
      <c r="C5" s="28" t="s">
        <v>174</v>
      </c>
    </row>
    <row r="6" spans="1:8">
      <c r="B6" t="s">
        <v>184</v>
      </c>
    </row>
    <row r="8" spans="1:8" ht="13.5" thickBot="1">
      <c r="A8" s="79" t="s">
        <v>112</v>
      </c>
      <c r="B8" s="48">
        <f>Strukturbilanz!F44</f>
        <v>10178.800000000001</v>
      </c>
      <c r="C8" s="28" t="s">
        <v>174</v>
      </c>
      <c r="D8" s="190" t="s">
        <v>170</v>
      </c>
      <c r="E8" s="191">
        <f>B8/B9</f>
        <v>0.5427766994432951</v>
      </c>
    </row>
    <row r="9" spans="1:8">
      <c r="A9" s="79"/>
      <c r="B9" s="192">
        <f>Strukturbilanz!F23</f>
        <v>18753.2</v>
      </c>
      <c r="C9" s="192"/>
      <c r="D9" s="190"/>
      <c r="E9" s="191"/>
    </row>
    <row r="10" spans="1:8">
      <c r="A10" s="79"/>
    </row>
    <row r="11" spans="1:8" ht="13.5" thickBot="1">
      <c r="A11" s="79" t="s">
        <v>113</v>
      </c>
      <c r="B11" s="48">
        <f>Strukturbilanz!I44</f>
        <v>9117.2999999999993</v>
      </c>
      <c r="C11" s="28" t="s">
        <v>174</v>
      </c>
      <c r="D11" s="190" t="s">
        <v>170</v>
      </c>
      <c r="E11" s="191">
        <f>B11/B12</f>
        <v>0.5872014014568453</v>
      </c>
    </row>
    <row r="12" spans="1:8">
      <c r="B12" s="192">
        <f>Strukturbilanz!I23</f>
        <v>15526.699999999999</v>
      </c>
      <c r="C12" s="192"/>
      <c r="D12" s="190"/>
      <c r="E12" s="191"/>
    </row>
    <row r="13" spans="1:8">
      <c r="B13" s="82"/>
      <c r="C13" s="82"/>
      <c r="D13" s="76"/>
      <c r="E13" s="80"/>
    </row>
    <row r="14" spans="1:8">
      <c r="B14" s="82"/>
      <c r="C14" s="82"/>
      <c r="D14" s="76"/>
      <c r="E14" s="80"/>
    </row>
    <row r="15" spans="1:8" ht="13.5" thickBot="1">
      <c r="A15" s="75" t="s">
        <v>240</v>
      </c>
      <c r="B15" s="28" t="s">
        <v>185</v>
      </c>
      <c r="C15" s="28" t="s">
        <v>174</v>
      </c>
    </row>
    <row r="16" spans="1:8">
      <c r="B16" t="s">
        <v>47</v>
      </c>
    </row>
    <row r="18" spans="1:5" ht="13.5" thickBot="1">
      <c r="A18" s="79" t="s">
        <v>112</v>
      </c>
      <c r="B18" s="48">
        <f>Strukturbilanz!F33+Strukturbilanz!F32</f>
        <v>560.20000000000005</v>
      </c>
      <c r="C18" s="28" t="s">
        <v>174</v>
      </c>
      <c r="D18" s="190" t="s">
        <v>170</v>
      </c>
      <c r="E18" s="191">
        <f>B18/B19</f>
        <v>5.5035957087279444E-2</v>
      </c>
    </row>
    <row r="19" spans="1:5">
      <c r="A19" s="79"/>
      <c r="B19" s="192">
        <f>Strukturbilanz!F44</f>
        <v>10178.800000000001</v>
      </c>
      <c r="C19" s="192"/>
      <c r="D19" s="190"/>
      <c r="E19" s="191"/>
    </row>
    <row r="20" spans="1:5">
      <c r="A20" s="79"/>
    </row>
    <row r="21" spans="1:5" ht="13.5" thickBot="1">
      <c r="A21" s="79" t="s">
        <v>113</v>
      </c>
      <c r="B21" s="48">
        <f>Strukturbilanz!I32+Strukturbilanz!I33</f>
        <v>3300.5</v>
      </c>
      <c r="C21" s="28" t="s">
        <v>174</v>
      </c>
      <c r="D21" s="190" t="s">
        <v>170</v>
      </c>
      <c r="E21" s="191">
        <f>B21/B22</f>
        <v>0.36200410209162803</v>
      </c>
    </row>
    <row r="22" spans="1:5">
      <c r="B22" s="192">
        <f>Strukturbilanz!I44</f>
        <v>9117.2999999999993</v>
      </c>
      <c r="C22" s="192"/>
      <c r="D22" s="190"/>
      <c r="E22" s="191"/>
    </row>
    <row r="23" spans="1:5">
      <c r="B23" s="82"/>
      <c r="C23" s="82"/>
      <c r="D23" s="76"/>
      <c r="E23" s="80"/>
    </row>
    <row r="24" spans="1:5">
      <c r="B24" s="82"/>
      <c r="C24" s="82"/>
      <c r="D24" s="76"/>
      <c r="E24" s="80"/>
    </row>
    <row r="25" spans="1:5" ht="13.5" thickBot="1">
      <c r="A25" s="75" t="s">
        <v>241</v>
      </c>
      <c r="B25" s="28" t="s">
        <v>186</v>
      </c>
      <c r="C25" s="28" t="s">
        <v>174</v>
      </c>
    </row>
    <row r="26" spans="1:5">
      <c r="B26" t="s">
        <v>184</v>
      </c>
    </row>
    <row r="28" spans="1:5" ht="13.5" thickBot="1">
      <c r="A28" s="79" t="s">
        <v>112</v>
      </c>
      <c r="B28" s="48">
        <f>Strukturbilanz!F33</f>
        <v>560.20000000000005</v>
      </c>
      <c r="C28" s="28" t="s">
        <v>174</v>
      </c>
      <c r="D28" s="190" t="s">
        <v>170</v>
      </c>
      <c r="E28" s="191">
        <f>B28/B29</f>
        <v>2.9872235138536356E-2</v>
      </c>
    </row>
    <row r="29" spans="1:5">
      <c r="A29" s="79"/>
      <c r="B29" s="192">
        <f>Strukturbilanz!F64</f>
        <v>18753.2</v>
      </c>
      <c r="C29" s="192"/>
      <c r="D29" s="190"/>
      <c r="E29" s="191"/>
    </row>
    <row r="30" spans="1:5">
      <c r="A30" s="79"/>
    </row>
    <row r="31" spans="1:5" ht="13.5" thickBot="1">
      <c r="A31" s="79" t="s">
        <v>113</v>
      </c>
      <c r="B31" s="48">
        <f>Strukturbilanz!I33</f>
        <v>1700.5</v>
      </c>
      <c r="C31" s="28" t="s">
        <v>174</v>
      </c>
      <c r="D31" s="190" t="s">
        <v>170</v>
      </c>
      <c r="E31" s="191">
        <f>B31/B32</f>
        <v>0.10952101863242029</v>
      </c>
    </row>
    <row r="32" spans="1:5">
      <c r="B32" s="192">
        <f>Strukturbilanz!I64</f>
        <v>15526.699999999999</v>
      </c>
      <c r="C32" s="192"/>
      <c r="D32" s="190"/>
      <c r="E32" s="191"/>
    </row>
    <row r="33" spans="1:5">
      <c r="B33" s="82"/>
      <c r="C33" s="82"/>
      <c r="D33" s="76"/>
      <c r="E33" s="80"/>
    </row>
    <row r="34" spans="1:5">
      <c r="B34" s="82"/>
      <c r="C34" s="82"/>
      <c r="D34" s="76"/>
      <c r="E34" s="80"/>
    </row>
    <row r="35" spans="1:5" ht="13.5" thickBot="1">
      <c r="A35" s="75" t="s">
        <v>242</v>
      </c>
      <c r="B35" s="28" t="s">
        <v>47</v>
      </c>
      <c r="C35" s="28" t="s">
        <v>174</v>
      </c>
    </row>
    <row r="36" spans="1:5">
      <c r="B36" t="s">
        <v>48</v>
      </c>
    </row>
    <row r="38" spans="1:5" ht="13.5" thickBot="1">
      <c r="A38" s="79" t="s">
        <v>112</v>
      </c>
      <c r="B38" s="48">
        <f>Strukturbilanz!F44</f>
        <v>10178.800000000001</v>
      </c>
      <c r="C38" s="28" t="s">
        <v>174</v>
      </c>
      <c r="D38" s="190" t="s">
        <v>170</v>
      </c>
      <c r="E38" s="191">
        <f>B38/B39</f>
        <v>1.2723500000000001</v>
      </c>
    </row>
    <row r="39" spans="1:5">
      <c r="A39" s="79"/>
      <c r="B39" s="192">
        <f>Strukturbilanz!F31</f>
        <v>8000</v>
      </c>
      <c r="C39" s="192"/>
      <c r="D39" s="190"/>
      <c r="E39" s="191"/>
    </row>
    <row r="40" spans="1:5">
      <c r="A40" s="79"/>
    </row>
    <row r="41" spans="1:5" ht="13.5" thickBot="1">
      <c r="A41" s="79" t="s">
        <v>113</v>
      </c>
      <c r="B41" s="48">
        <f>Strukturbilanz!I44</f>
        <v>9117.2999999999993</v>
      </c>
      <c r="C41" s="28" t="s">
        <v>174</v>
      </c>
      <c r="D41" s="190" t="s">
        <v>170</v>
      </c>
      <c r="E41" s="191">
        <f>B41/B42</f>
        <v>2.2793249999999996</v>
      </c>
    </row>
    <row r="42" spans="1:5">
      <c r="B42" s="192">
        <f>Strukturbilanz!I31</f>
        <v>4000</v>
      </c>
      <c r="C42" s="192"/>
      <c r="D42" s="190"/>
      <c r="E42" s="191"/>
    </row>
    <row r="43" spans="1:5">
      <c r="B43" s="82"/>
      <c r="C43" s="82"/>
      <c r="D43" s="76"/>
      <c r="E43" s="80"/>
    </row>
    <row r="44" spans="1:5">
      <c r="B44" s="82"/>
      <c r="C44" s="82"/>
      <c r="D44" s="76"/>
      <c r="E44" s="80"/>
    </row>
    <row r="45" spans="1:5" ht="13.5" thickBot="1">
      <c r="A45" s="75" t="s">
        <v>243</v>
      </c>
      <c r="B45" s="28" t="s">
        <v>58</v>
      </c>
      <c r="C45" s="28" t="s">
        <v>174</v>
      </c>
    </row>
    <row r="46" spans="1:5">
      <c r="B46" t="s">
        <v>184</v>
      </c>
    </row>
    <row r="48" spans="1:5" ht="13.5" thickBot="1">
      <c r="A48" s="79" t="s">
        <v>112</v>
      </c>
      <c r="B48" s="48">
        <f>Strukturbilanz!F48+Strukturbilanz!F58+Strukturbilanz!F59</f>
        <v>3174.5</v>
      </c>
      <c r="C48" s="28" t="s">
        <v>174</v>
      </c>
      <c r="D48" s="190" t="s">
        <v>170</v>
      </c>
      <c r="E48" s="191">
        <f>B48/B49</f>
        <v>0.16927777659279483</v>
      </c>
    </row>
    <row r="49" spans="1:5">
      <c r="A49" s="79"/>
      <c r="B49" s="192">
        <f>Strukturbilanz!F64</f>
        <v>18753.2</v>
      </c>
      <c r="C49" s="192"/>
      <c r="D49" s="190"/>
      <c r="E49" s="191"/>
    </row>
    <row r="50" spans="1:5">
      <c r="A50" s="79"/>
    </row>
    <row r="51" spans="1:5" ht="13.5" thickBot="1">
      <c r="A51" s="79" t="s">
        <v>113</v>
      </c>
      <c r="B51" s="48">
        <f>Strukturbilanz!I48+Strukturbilanz!I58+Strukturbilanz!I59</f>
        <v>2987.3</v>
      </c>
      <c r="C51" s="28" t="s">
        <v>174</v>
      </c>
      <c r="D51" s="190" t="s">
        <v>170</v>
      </c>
      <c r="E51" s="191">
        <f>B51/B52</f>
        <v>0.19239761185570664</v>
      </c>
    </row>
    <row r="52" spans="1:5">
      <c r="B52" s="192">
        <f>Strukturbilanz!I64</f>
        <v>15526.699999999999</v>
      </c>
      <c r="C52" s="192"/>
      <c r="D52" s="190"/>
      <c r="E52" s="191"/>
    </row>
    <row r="53" spans="1:5">
      <c r="B53" s="82"/>
      <c r="C53" s="82"/>
      <c r="D53" s="76"/>
      <c r="E53" s="80"/>
    </row>
    <row r="54" spans="1:5">
      <c r="B54" s="82"/>
      <c r="C54" s="82"/>
      <c r="D54" s="76"/>
      <c r="E54" s="80"/>
    </row>
    <row r="55" spans="1:5" ht="13.5" thickBot="1">
      <c r="A55" s="75" t="s">
        <v>244</v>
      </c>
      <c r="B55" s="28" t="s">
        <v>155</v>
      </c>
      <c r="C55" s="28" t="s">
        <v>174</v>
      </c>
    </row>
    <row r="56" spans="1:5">
      <c r="B56" t="s">
        <v>184</v>
      </c>
    </row>
    <row r="58" spans="1:5" ht="13.5" thickBot="1">
      <c r="A58" s="79" t="s">
        <v>112</v>
      </c>
      <c r="B58" s="48">
        <f>Strukturbilanz!F49+Strukturbilanz!F53+Strukturbilanz!F61</f>
        <v>8574.4</v>
      </c>
      <c r="C58" s="28" t="s">
        <v>174</v>
      </c>
      <c r="D58" s="190" t="s">
        <v>170</v>
      </c>
      <c r="E58" s="191">
        <f>B58/B59</f>
        <v>0.45722330055670496</v>
      </c>
    </row>
    <row r="59" spans="1:5">
      <c r="A59" s="79"/>
      <c r="B59" s="192">
        <f>Strukturbilanz!$F$64</f>
        <v>18753.2</v>
      </c>
      <c r="C59" s="192"/>
      <c r="D59" s="190"/>
      <c r="E59" s="191"/>
    </row>
    <row r="60" spans="1:5">
      <c r="A60" s="79"/>
    </row>
    <row r="61" spans="1:5" ht="13.5" thickBot="1">
      <c r="A61" s="79" t="s">
        <v>113</v>
      </c>
      <c r="B61" s="48">
        <f>Strukturbilanz!I49+Strukturbilanz!I53+Strukturbilanz!I61</f>
        <v>6409.4</v>
      </c>
      <c r="C61" s="28" t="s">
        <v>174</v>
      </c>
      <c r="D61" s="190" t="s">
        <v>170</v>
      </c>
      <c r="E61" s="191">
        <f>B61/B62</f>
        <v>0.4127985985431547</v>
      </c>
    </row>
    <row r="62" spans="1:5">
      <c r="B62" s="192">
        <f>Strukturbilanz!$I$64</f>
        <v>15526.699999999999</v>
      </c>
      <c r="C62" s="192"/>
      <c r="D62" s="190"/>
      <c r="E62" s="191"/>
    </row>
    <row r="63" spans="1:5">
      <c r="B63" s="82"/>
      <c r="C63" s="82"/>
      <c r="D63" s="76"/>
      <c r="E63" s="80"/>
    </row>
    <row r="64" spans="1:5">
      <c r="B64" s="82"/>
      <c r="C64" s="82"/>
      <c r="D64" s="76"/>
      <c r="E64" s="80"/>
    </row>
    <row r="65" spans="1:5" ht="26.25" thickBot="1">
      <c r="A65" s="81" t="s">
        <v>245</v>
      </c>
      <c r="B65" s="34" t="s">
        <v>187</v>
      </c>
      <c r="C65" s="28" t="s">
        <v>174</v>
      </c>
    </row>
    <row r="66" spans="1:5">
      <c r="B66" t="s">
        <v>184</v>
      </c>
    </row>
    <row r="68" spans="1:5" ht="13.5" thickBot="1">
      <c r="A68" s="79" t="s">
        <v>112</v>
      </c>
      <c r="B68" s="48">
        <f>Strukturbilanz!F49+Strukturbilanz!F53</f>
        <v>3785.2</v>
      </c>
      <c r="C68" s="28" t="s">
        <v>174</v>
      </c>
      <c r="D68" s="190" t="s">
        <v>170</v>
      </c>
      <c r="E68" s="191">
        <f>B68/B69</f>
        <v>0.20184288548087792</v>
      </c>
    </row>
    <row r="69" spans="1:5">
      <c r="A69" s="79"/>
      <c r="B69" s="192">
        <f>Strukturbilanz!$F$64</f>
        <v>18753.2</v>
      </c>
      <c r="C69" s="192"/>
      <c r="D69" s="190"/>
      <c r="E69" s="191"/>
    </row>
    <row r="70" spans="1:5">
      <c r="A70" s="79"/>
    </row>
    <row r="71" spans="1:5" ht="13.5" thickBot="1">
      <c r="A71" s="79" t="s">
        <v>113</v>
      </c>
      <c r="B71" s="48">
        <f>Strukturbilanz!I49+Strukturbilanz!I53</f>
        <v>3054.5</v>
      </c>
      <c r="C71" s="28" t="s">
        <v>174</v>
      </c>
      <c r="D71" s="190" t="s">
        <v>170</v>
      </c>
      <c r="E71" s="191">
        <f>B71/B72</f>
        <v>0.19672564034856088</v>
      </c>
    </row>
    <row r="72" spans="1:5">
      <c r="B72" s="192">
        <f>Strukturbilanz!$I$64</f>
        <v>15526.699999999999</v>
      </c>
      <c r="C72" s="192"/>
      <c r="D72" s="190"/>
      <c r="E72" s="191"/>
    </row>
    <row r="73" spans="1:5">
      <c r="B73" s="82"/>
      <c r="C73" s="82"/>
      <c r="D73" s="76"/>
      <c r="E73" s="80"/>
    </row>
    <row r="74" spans="1:5">
      <c r="B74" s="82"/>
      <c r="C74" s="82"/>
      <c r="D74" s="76"/>
      <c r="E74" s="80"/>
    </row>
    <row r="75" spans="1:5" ht="26.25" thickBot="1">
      <c r="A75" s="81" t="s">
        <v>246</v>
      </c>
      <c r="B75" s="34" t="s">
        <v>188</v>
      </c>
      <c r="C75" s="28" t="s">
        <v>174</v>
      </c>
    </row>
    <row r="76" spans="1:5">
      <c r="B76" t="s">
        <v>184</v>
      </c>
    </row>
    <row r="78" spans="1:5" ht="13.5" thickBot="1">
      <c r="A78" s="79" t="s">
        <v>112</v>
      </c>
      <c r="B78" s="48">
        <f>Strukturbilanz!F61</f>
        <v>4789.2</v>
      </c>
      <c r="C78" s="28" t="s">
        <v>174</v>
      </c>
      <c r="D78" s="190" t="s">
        <v>170</v>
      </c>
      <c r="E78" s="191">
        <f>B78/B79</f>
        <v>0.25538041507582704</v>
      </c>
    </row>
    <row r="79" spans="1:5">
      <c r="A79" s="79"/>
      <c r="B79" s="192">
        <f>Strukturbilanz!$F$64</f>
        <v>18753.2</v>
      </c>
      <c r="C79" s="192"/>
      <c r="D79" s="190"/>
      <c r="E79" s="191"/>
    </row>
    <row r="80" spans="1:5">
      <c r="A80" s="79"/>
    </row>
    <row r="81" spans="1:5" ht="13.5" thickBot="1">
      <c r="A81" s="79" t="s">
        <v>113</v>
      </c>
      <c r="B81" s="48">
        <f>Strukturbilanz!I61</f>
        <v>3354.8999999999996</v>
      </c>
      <c r="C81" s="28" t="s">
        <v>174</v>
      </c>
      <c r="D81" s="190" t="s">
        <v>170</v>
      </c>
      <c r="E81" s="191">
        <f>B81/B82</f>
        <v>0.21607295819459382</v>
      </c>
    </row>
    <row r="82" spans="1:5">
      <c r="B82" s="192">
        <f>Strukturbilanz!$I$64</f>
        <v>15526.699999999999</v>
      </c>
      <c r="C82" s="192"/>
      <c r="D82" s="190"/>
      <c r="E82" s="191"/>
    </row>
    <row r="83" spans="1:5">
      <c r="B83" s="82"/>
      <c r="C83" s="82"/>
      <c r="D83" s="76"/>
      <c r="E83" s="80"/>
    </row>
    <row r="84" spans="1:5">
      <c r="B84" s="82"/>
      <c r="C84" s="82"/>
      <c r="D84" s="76"/>
      <c r="E84" s="80"/>
    </row>
    <row r="85" spans="1:5" ht="26.25" thickBot="1">
      <c r="A85" s="81" t="s">
        <v>247</v>
      </c>
      <c r="B85" s="34" t="s">
        <v>189</v>
      </c>
      <c r="C85" s="28" t="s">
        <v>174</v>
      </c>
    </row>
    <row r="86" spans="1:5">
      <c r="B86" t="s">
        <v>155</v>
      </c>
    </row>
    <row r="88" spans="1:5" ht="13.5" thickBot="1">
      <c r="A88" s="79" t="s">
        <v>112</v>
      </c>
      <c r="B88" s="48">
        <f>Strukturbilanz!F56*-1</f>
        <v>80.3</v>
      </c>
      <c r="C88" s="28" t="s">
        <v>174</v>
      </c>
      <c r="D88" s="190" t="s">
        <v>170</v>
      </c>
      <c r="E88" s="191">
        <f>B88/B89</f>
        <v>9.3650867699197615E-3</v>
      </c>
    </row>
    <row r="89" spans="1:5">
      <c r="A89" s="79"/>
      <c r="B89" s="192">
        <f>Strukturbilanz!F49+Strukturbilanz!F53+Strukturbilanz!F61</f>
        <v>8574.4</v>
      </c>
      <c r="C89" s="192"/>
      <c r="D89" s="190"/>
      <c r="E89" s="191"/>
    </row>
    <row r="90" spans="1:5">
      <c r="A90" s="79"/>
    </row>
    <row r="91" spans="1:5" ht="13.5" thickBot="1">
      <c r="A91" s="79" t="s">
        <v>113</v>
      </c>
      <c r="B91" s="48">
        <f>Strukturbilanz!I56*-1</f>
        <v>30.2</v>
      </c>
      <c r="C91" s="28" t="s">
        <v>174</v>
      </c>
      <c r="D91" s="190" t="s">
        <v>170</v>
      </c>
      <c r="E91" s="191">
        <f>B91/B92</f>
        <v>4.7118295004212564E-3</v>
      </c>
    </row>
    <row r="92" spans="1:5">
      <c r="B92" s="192">
        <f>Strukturbilanz!I49+Strukturbilanz!I53+Strukturbilanz!I61</f>
        <v>6409.4</v>
      </c>
      <c r="C92" s="192"/>
      <c r="D92" s="190"/>
      <c r="E92" s="191"/>
    </row>
    <row r="93" spans="1:5">
      <c r="B93" s="82"/>
      <c r="C93" s="82"/>
      <c r="D93" s="76"/>
      <c r="E93" s="80"/>
    </row>
    <row r="94" spans="1:5">
      <c r="B94" s="82"/>
      <c r="C94" s="82"/>
      <c r="D94" s="76"/>
      <c r="E94" s="80"/>
    </row>
    <row r="95" spans="1:5" ht="13.5" thickBot="1">
      <c r="A95" s="81" t="s">
        <v>248</v>
      </c>
      <c r="B95" s="34" t="s">
        <v>155</v>
      </c>
      <c r="C95" s="28" t="s">
        <v>174</v>
      </c>
    </row>
    <row r="96" spans="1:5">
      <c r="B96" t="s">
        <v>47</v>
      </c>
    </row>
    <row r="98" spans="1:6" ht="13.5" thickBot="1">
      <c r="A98" s="79" t="s">
        <v>112</v>
      </c>
      <c r="B98" s="48">
        <f>Strukturbilanz!F49+Strukturbilanz!F53+Strukturbilanz!F61</f>
        <v>8574.4</v>
      </c>
      <c r="C98" s="28" t="s">
        <v>174</v>
      </c>
      <c r="D98" s="190" t="s">
        <v>170</v>
      </c>
      <c r="E98" s="191">
        <f>B98/B99</f>
        <v>0.84237827641765228</v>
      </c>
    </row>
    <row r="99" spans="1:6">
      <c r="A99" s="79"/>
      <c r="B99" s="192">
        <f>Strukturbilanz!F44</f>
        <v>10178.800000000001</v>
      </c>
      <c r="C99" s="192"/>
      <c r="D99" s="190"/>
      <c r="E99" s="191"/>
    </row>
    <row r="100" spans="1:6">
      <c r="A100" s="79"/>
    </row>
    <row r="101" spans="1:6" ht="13.5" thickBot="1">
      <c r="A101" s="79" t="s">
        <v>113</v>
      </c>
      <c r="B101" s="48">
        <f>Strukturbilanz!I49+Strukturbilanz!I53+Strukturbilanz!I61</f>
        <v>6409.4</v>
      </c>
      <c r="C101" s="28" t="s">
        <v>174</v>
      </c>
      <c r="D101" s="190" t="s">
        <v>170</v>
      </c>
      <c r="E101" s="191">
        <f>B101/B102</f>
        <v>0.70299321070931087</v>
      </c>
    </row>
    <row r="102" spans="1:6">
      <c r="B102" s="192">
        <f>Strukturbilanz!I44</f>
        <v>9117.2999999999993</v>
      </c>
      <c r="C102" s="192"/>
      <c r="D102" s="190"/>
      <c r="E102" s="191"/>
    </row>
    <row r="103" spans="1:6">
      <c r="B103" s="82"/>
      <c r="C103" s="82"/>
      <c r="D103" s="76"/>
      <c r="E103" s="80"/>
    </row>
    <row r="104" spans="1:6">
      <c r="B104" s="82"/>
      <c r="C104" s="82"/>
      <c r="D104" s="76"/>
      <c r="E104" s="80"/>
    </row>
    <row r="105" spans="1:6" ht="13.5" thickBot="1">
      <c r="A105" s="81" t="s">
        <v>249</v>
      </c>
      <c r="B105" s="200" t="s">
        <v>180</v>
      </c>
      <c r="C105" s="200"/>
    </row>
    <row r="106" spans="1:6" ht="27" customHeight="1">
      <c r="B106" s="196" t="s">
        <v>190</v>
      </c>
      <c r="C106" s="196"/>
    </row>
    <row r="108" spans="1:6" ht="13.5" thickBot="1">
      <c r="A108" s="79" t="s">
        <v>112</v>
      </c>
      <c r="B108" s="194">
        <f>'Struktur GUV'!$C$6</f>
        <v>21518</v>
      </c>
      <c r="C108" s="194"/>
      <c r="D108" s="190" t="s">
        <v>170</v>
      </c>
      <c r="E108" s="202">
        <f>B108/B109</f>
        <v>1.2554295665973354</v>
      </c>
      <c r="F108" s="201" t="s">
        <v>183</v>
      </c>
    </row>
    <row r="109" spans="1:6">
      <c r="A109" s="79"/>
      <c r="B109" s="192">
        <f>(Strukturbilanz!F64+Strukturbilanz!I64)/2</f>
        <v>17139.95</v>
      </c>
      <c r="C109" s="192"/>
      <c r="D109" s="190"/>
      <c r="E109" s="202"/>
      <c r="F109" s="201"/>
    </row>
    <row r="110" spans="1:6">
      <c r="A110" s="79"/>
      <c r="E110" s="83"/>
    </row>
    <row r="111" spans="1:6" ht="13.5" thickBot="1">
      <c r="A111" s="79" t="s">
        <v>113</v>
      </c>
      <c r="B111" s="194">
        <f>'Struktur GUV'!$E$6</f>
        <v>18557.5</v>
      </c>
      <c r="C111" s="194"/>
      <c r="D111" s="190" t="s">
        <v>170</v>
      </c>
      <c r="E111" s="202">
        <f>B111/B112</f>
        <v>1.2238390593107724</v>
      </c>
      <c r="F111" s="201" t="s">
        <v>183</v>
      </c>
    </row>
    <row r="112" spans="1:6">
      <c r="B112" s="192">
        <f>(Strukturbilanz!I64+Strukturbilanz!F67)/2</f>
        <v>15163.349999999999</v>
      </c>
      <c r="C112" s="192"/>
      <c r="D112" s="190"/>
      <c r="E112" s="202"/>
      <c r="F112" s="201"/>
    </row>
    <row r="113" spans="1:6">
      <c r="B113" s="82"/>
      <c r="C113" s="82"/>
      <c r="D113" s="76"/>
      <c r="E113" s="80"/>
    </row>
    <row r="114" spans="1:6">
      <c r="B114" s="82"/>
      <c r="C114" s="82"/>
      <c r="D114" s="76"/>
      <c r="E114" s="80"/>
    </row>
    <row r="115" spans="1:6" ht="13.5" thickBot="1">
      <c r="A115" s="81" t="s">
        <v>250</v>
      </c>
      <c r="B115" s="200" t="s">
        <v>180</v>
      </c>
      <c r="C115" s="200"/>
    </row>
    <row r="116" spans="1:6" ht="27" customHeight="1">
      <c r="B116" s="196" t="s">
        <v>191</v>
      </c>
      <c r="C116" s="196"/>
    </row>
    <row r="118" spans="1:6" ht="13.5" thickBot="1">
      <c r="A118" s="79" t="s">
        <v>112</v>
      </c>
      <c r="B118" s="194">
        <f>'Struktur GUV'!$C$6</f>
        <v>21518</v>
      </c>
      <c r="C118" s="194"/>
      <c r="D118" s="190" t="s">
        <v>170</v>
      </c>
      <c r="E118" s="202">
        <f>B118/B119</f>
        <v>2.2302952410072505</v>
      </c>
      <c r="F118" s="201" t="s">
        <v>183</v>
      </c>
    </row>
    <row r="119" spans="1:6">
      <c r="A119" s="79"/>
      <c r="B119" s="192">
        <f>(Strukturbilanz!F44+Strukturbilanz!I44)/2</f>
        <v>9648.0499999999993</v>
      </c>
      <c r="C119" s="192"/>
      <c r="D119" s="190"/>
      <c r="E119" s="202"/>
      <c r="F119" s="201"/>
    </row>
    <row r="120" spans="1:6">
      <c r="A120" s="79"/>
      <c r="E120" s="83"/>
    </row>
    <row r="121" spans="1:6" ht="13.5" thickBot="1">
      <c r="A121" s="79" t="s">
        <v>113</v>
      </c>
      <c r="B121" s="194">
        <f>'Struktur GUV'!$E$6</f>
        <v>18557.5</v>
      </c>
      <c r="C121" s="194"/>
      <c r="D121" s="190" t="s">
        <v>170</v>
      </c>
      <c r="E121" s="202">
        <f>B121/B122</f>
        <v>2.1067359924619553</v>
      </c>
      <c r="F121" s="201" t="s">
        <v>183</v>
      </c>
    </row>
    <row r="122" spans="1:6">
      <c r="B122" s="192">
        <f>(Strukturbilanz!I44+Strukturbilanz!F68)/2</f>
        <v>8808.65</v>
      </c>
      <c r="C122" s="192"/>
      <c r="D122" s="190"/>
      <c r="E122" s="202"/>
      <c r="F122" s="201"/>
    </row>
    <row r="123" spans="1:6">
      <c r="B123" s="82"/>
      <c r="C123" s="82"/>
      <c r="D123" s="76"/>
      <c r="E123" s="80"/>
    </row>
    <row r="124" spans="1:6">
      <c r="B124" s="82"/>
      <c r="C124" s="82"/>
      <c r="D124" s="76"/>
      <c r="E124" s="80"/>
    </row>
    <row r="125" spans="1:6" ht="26.25" thickBot="1">
      <c r="A125" s="81" t="s">
        <v>251</v>
      </c>
      <c r="B125" s="200" t="s">
        <v>81</v>
      </c>
      <c r="C125" s="200"/>
    </row>
    <row r="126" spans="1:6" ht="25.5" customHeight="1">
      <c r="B126" s="196" t="s">
        <v>192</v>
      </c>
      <c r="C126" s="196"/>
    </row>
    <row r="128" spans="1:6" ht="13.5" thickBot="1">
      <c r="A128" s="79" t="s">
        <v>112</v>
      </c>
      <c r="B128" s="194">
        <f>'Struktur GUV'!C11*-1</f>
        <v>7261.2999999999993</v>
      </c>
      <c r="C128" s="194"/>
      <c r="D128" s="190" t="s">
        <v>170</v>
      </c>
      <c r="E128" s="202">
        <f>B128/B129</f>
        <v>13.210770490312015</v>
      </c>
      <c r="F128" s="201" t="s">
        <v>183</v>
      </c>
    </row>
    <row r="129" spans="1:6">
      <c r="A129" s="79"/>
      <c r="B129" s="192">
        <f>(Erläuterungen!C14+Erläuterungen!C16+Erläuterungen!C15+Erläuterungen!C17)/2</f>
        <v>549.65</v>
      </c>
      <c r="C129" s="192"/>
      <c r="D129" s="190"/>
      <c r="E129" s="202"/>
      <c r="F129" s="201"/>
    </row>
    <row r="130" spans="1:6">
      <c r="A130" s="79"/>
      <c r="E130" s="83"/>
    </row>
    <row r="131" spans="1:6" ht="13.5" thickBot="1">
      <c r="A131" s="79" t="s">
        <v>113</v>
      </c>
      <c r="B131" s="194">
        <f>'Struktur GUV'!E11*-1</f>
        <v>6483</v>
      </c>
      <c r="C131" s="194"/>
      <c r="D131" s="190" t="s">
        <v>170</v>
      </c>
      <c r="E131" s="202">
        <f>B131/B132</f>
        <v>16.559386973180075</v>
      </c>
      <c r="F131" s="201" t="s">
        <v>183</v>
      </c>
    </row>
    <row r="132" spans="1:6">
      <c r="B132" s="192">
        <f>(Erläuterungen!D15+Erläuterungen!D17+385)/2</f>
        <v>391.5</v>
      </c>
      <c r="C132" s="192"/>
      <c r="D132" s="190"/>
      <c r="E132" s="202"/>
      <c r="F132" s="201"/>
    </row>
    <row r="133" spans="1:6">
      <c r="B133" s="82"/>
      <c r="C133" s="82"/>
      <c r="D133" s="76"/>
      <c r="E133" s="80"/>
    </row>
    <row r="134" spans="1:6">
      <c r="B134" s="82"/>
      <c r="C134" s="82"/>
      <c r="D134" s="76"/>
      <c r="E134" s="80"/>
    </row>
    <row r="135" spans="1:6" ht="13.5" thickBot="1">
      <c r="A135" s="81" t="s">
        <v>252</v>
      </c>
      <c r="B135" s="193">
        <v>365</v>
      </c>
      <c r="C135" s="193"/>
    </row>
    <row r="136" spans="1:6" ht="41.25" customHeight="1">
      <c r="B136" s="196" t="s">
        <v>193</v>
      </c>
      <c r="C136" s="196"/>
    </row>
    <row r="138" spans="1:6" ht="13.5" thickBot="1">
      <c r="A138" s="79" t="s">
        <v>112</v>
      </c>
      <c r="B138" s="194">
        <v>365</v>
      </c>
      <c r="C138" s="194"/>
      <c r="D138" s="190" t="s">
        <v>170</v>
      </c>
      <c r="E138" s="195">
        <f>B138/B139</f>
        <v>27.628971396306451</v>
      </c>
      <c r="F138" s="195" t="s">
        <v>182</v>
      </c>
    </row>
    <row r="139" spans="1:6">
      <c r="A139" s="79"/>
      <c r="B139" s="203">
        <f>E128</f>
        <v>13.210770490312015</v>
      </c>
      <c r="C139" s="203"/>
      <c r="D139" s="190"/>
      <c r="E139" s="195"/>
      <c r="F139" s="195"/>
    </row>
    <row r="140" spans="1:6">
      <c r="A140" s="79"/>
    </row>
    <row r="141" spans="1:6" ht="13.5" thickBot="1">
      <c r="A141" s="79" t="s">
        <v>113</v>
      </c>
      <c r="B141" s="194">
        <v>365</v>
      </c>
      <c r="C141" s="194"/>
      <c r="D141" s="190" t="s">
        <v>170</v>
      </c>
      <c r="E141" s="195">
        <f>B141/B142</f>
        <v>22.041878759833413</v>
      </c>
      <c r="F141" s="195" t="s">
        <v>182</v>
      </c>
    </row>
    <row r="142" spans="1:6">
      <c r="B142" s="203">
        <f>E131</f>
        <v>16.559386973180075</v>
      </c>
      <c r="C142" s="203"/>
      <c r="D142" s="190"/>
      <c r="E142" s="195"/>
      <c r="F142" s="195"/>
    </row>
    <row r="143" spans="1:6">
      <c r="B143" s="82"/>
      <c r="C143" s="82"/>
      <c r="D143" s="76"/>
      <c r="E143" s="80"/>
    </row>
    <row r="144" spans="1:6">
      <c r="B144" s="82"/>
      <c r="C144" s="82"/>
      <c r="D144" s="76"/>
      <c r="E144" s="80"/>
    </row>
  </sheetData>
  <mergeCells count="108">
    <mergeCell ref="B141:C141"/>
    <mergeCell ref="D141:D142"/>
    <mergeCell ref="E141:E142"/>
    <mergeCell ref="F141:F142"/>
    <mergeCell ref="B142:C142"/>
    <mergeCell ref="F131:F132"/>
    <mergeCell ref="B132:C132"/>
    <mergeCell ref="B125:C125"/>
    <mergeCell ref="B126:C126"/>
    <mergeCell ref="B128:C128"/>
    <mergeCell ref="D128:D129"/>
    <mergeCell ref="B135:C135"/>
    <mergeCell ref="B136:C136"/>
    <mergeCell ref="B138:C138"/>
    <mergeCell ref="D138:D139"/>
    <mergeCell ref="E128:E129"/>
    <mergeCell ref="F128:F129"/>
    <mergeCell ref="B129:C129"/>
    <mergeCell ref="B131:C131"/>
    <mergeCell ref="D131:D132"/>
    <mergeCell ref="E131:E132"/>
    <mergeCell ref="E138:E139"/>
    <mergeCell ref="F138:F139"/>
    <mergeCell ref="B139:C139"/>
    <mergeCell ref="B121:C121"/>
    <mergeCell ref="D121:D122"/>
    <mergeCell ref="E121:E122"/>
    <mergeCell ref="F121:F122"/>
    <mergeCell ref="B122:C122"/>
    <mergeCell ref="B118:C118"/>
    <mergeCell ref="D118:D119"/>
    <mergeCell ref="E118:E119"/>
    <mergeCell ref="F118:F119"/>
    <mergeCell ref="B119:C119"/>
    <mergeCell ref="F108:F109"/>
    <mergeCell ref="D108:D109"/>
    <mergeCell ref="E108:E109"/>
    <mergeCell ref="B109:C109"/>
    <mergeCell ref="F111:F112"/>
    <mergeCell ref="B111:C111"/>
    <mergeCell ref="B115:C115"/>
    <mergeCell ref="B116:C116"/>
    <mergeCell ref="D111:D112"/>
    <mergeCell ref="E111:E112"/>
    <mergeCell ref="B112:C112"/>
    <mergeCell ref="D98:D99"/>
    <mergeCell ref="E98:E99"/>
    <mergeCell ref="B99:C99"/>
    <mergeCell ref="D101:D102"/>
    <mergeCell ref="E101:E102"/>
    <mergeCell ref="B102:C102"/>
    <mergeCell ref="B106:C106"/>
    <mergeCell ref="B105:C105"/>
    <mergeCell ref="B108:C108"/>
    <mergeCell ref="D81:D82"/>
    <mergeCell ref="E81:E82"/>
    <mergeCell ref="B82:C82"/>
    <mergeCell ref="D88:D89"/>
    <mergeCell ref="E88:E89"/>
    <mergeCell ref="B89:C89"/>
    <mergeCell ref="D91:D92"/>
    <mergeCell ref="E91:E92"/>
    <mergeCell ref="B92:C92"/>
    <mergeCell ref="D68:D69"/>
    <mergeCell ref="E68:E69"/>
    <mergeCell ref="B69:C69"/>
    <mergeCell ref="D71:D72"/>
    <mergeCell ref="E71:E72"/>
    <mergeCell ref="B72:C72"/>
    <mergeCell ref="D78:D79"/>
    <mergeCell ref="E78:E79"/>
    <mergeCell ref="B79:C79"/>
    <mergeCell ref="D51:D52"/>
    <mergeCell ref="E51:E52"/>
    <mergeCell ref="B52:C52"/>
    <mergeCell ref="D58:D59"/>
    <mergeCell ref="E58:E59"/>
    <mergeCell ref="B59:C59"/>
    <mergeCell ref="D61:D62"/>
    <mergeCell ref="E61:E62"/>
    <mergeCell ref="B62:C62"/>
    <mergeCell ref="D38:D39"/>
    <mergeCell ref="E38:E39"/>
    <mergeCell ref="B39:C39"/>
    <mergeCell ref="D41:D42"/>
    <mergeCell ref="E41:E42"/>
    <mergeCell ref="B42:C42"/>
    <mergeCell ref="D48:D49"/>
    <mergeCell ref="E48:E49"/>
    <mergeCell ref="B49:C49"/>
    <mergeCell ref="D21:D22"/>
    <mergeCell ref="E21:E22"/>
    <mergeCell ref="B22:C22"/>
    <mergeCell ref="D28:D29"/>
    <mergeCell ref="E28:E29"/>
    <mergeCell ref="B29:C29"/>
    <mergeCell ref="D31:D32"/>
    <mergeCell ref="E31:E32"/>
    <mergeCell ref="B32:C32"/>
    <mergeCell ref="D8:D9"/>
    <mergeCell ref="E8:E9"/>
    <mergeCell ref="B9:C9"/>
    <mergeCell ref="D11:D12"/>
    <mergeCell ref="E11:E12"/>
    <mergeCell ref="B12:C12"/>
    <mergeCell ref="D18:D19"/>
    <mergeCell ref="E18:E19"/>
    <mergeCell ref="B19:C19"/>
  </mergeCells>
  <phoneticPr fontId="5" type="noConversion"/>
  <pageMargins left="0.59055118110236227" right="0.39370078740157483" top="0.98425196850393704" bottom="0.98425196850393704" header="0.51181102362204722" footer="0.51181102362204722"/>
  <pageSetup paperSize="9" orientation="portrait" horizontalDpi="300" verticalDpi="300" r:id="rId1"/>
  <headerFooter alignWithMargins="0">
    <oddFooter>&amp;L&amp;A&amp;C&amp;8&amp;P / &amp;N&amp;R&amp;8&amp;D</oddFooter>
  </headerFooter>
  <rowBreaks count="2" manualBreakCount="2">
    <brk id="54" max="16383" man="1"/>
    <brk id="10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12</vt:i4>
      </vt:variant>
    </vt:vector>
  </HeadingPairs>
  <TitlesOfParts>
    <vt:vector size="12" baseType="lpstr">
      <vt:lpstr>Aktiva</vt:lpstr>
      <vt:lpstr>Passiva</vt:lpstr>
      <vt:lpstr>Guv</vt:lpstr>
      <vt:lpstr>Erläuterungen</vt:lpstr>
      <vt:lpstr>Strukturbilanz</vt:lpstr>
      <vt:lpstr>Struktur GUV</vt:lpstr>
      <vt:lpstr>KZ Vermögensaufbau</vt:lpstr>
      <vt:lpstr>KZ Wachstum</vt:lpstr>
      <vt:lpstr>KZ Kapitalstruktur</vt:lpstr>
      <vt:lpstr>KZ Finanzlage</vt:lpstr>
      <vt:lpstr>KZ Ertragskraft</vt:lpstr>
      <vt:lpstr>Grafiken</vt:lpstr>
    </vt:vector>
  </TitlesOfParts>
  <Company>Excel-Inside Solutions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alois.eckl</dc:creator>
  <cp:lastModifiedBy>Eckl, Alois</cp:lastModifiedBy>
  <cp:lastPrinted>2019-07-02T10:12:28Z</cp:lastPrinted>
  <dcterms:created xsi:type="dcterms:W3CDTF">2019-07-02T09:00:08Z</dcterms:created>
  <dcterms:modified xsi:type="dcterms:W3CDTF">2019-07-02T10:16:42Z</dcterms:modified>
</cp:coreProperties>
</file>